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3.xml" ContentType="application/vnd.openxmlformats-officedocument.drawing+xml"/>
  <Override PartName="/xl/ctrlProps/ctrlProp46.xml" ContentType="application/vnd.ms-excel.controlproperties+xml"/>
  <Override PartName="/xl/drawings/drawing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theme/themeOverride1.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drawings/drawing9.xml" ContentType="application/vnd.openxmlformats-officedocument.drawing+xml"/>
  <Override PartName="/xl/ctrlProps/ctrlProp17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231"/>
  <workbookPr codeName="ThisWorkbook" defaultThemeVersion="124226"/>
  <mc:AlternateContent xmlns:mc="http://schemas.openxmlformats.org/markup-compatibility/2006">
    <mc:Choice Requires="x15">
      <x15ac:absPath xmlns:x15ac="http://schemas.microsoft.com/office/spreadsheetml/2010/11/ac" url="C:\Users\irinak\Desktop\New folder\"/>
    </mc:Choice>
  </mc:AlternateContent>
  <xr:revisionPtr revIDLastSave="0" documentId="8_{48289284-EED9-4182-8622-EB15C64A2A53}" xr6:coauthVersionLast="40" xr6:coauthVersionMax="40" xr10:uidLastSave="{00000000-0000-0000-0000-000000000000}"/>
  <bookViews>
    <workbookView xWindow="-110" yWindow="-110" windowWidth="38620" windowHeight="21220" xr2:uid="{00000000-000D-0000-FFFF-FFFF00000000}"/>
  </bookViews>
  <sheets>
    <sheet name="Basic Values" sheetId="1" r:id="rId1"/>
    <sheet name="Calculations" sheetId="2" r:id="rId2"/>
    <sheet name="Eliminations" sheetId="46" state="veryHidden" r:id="rId3"/>
    <sheet name="Result" sheetId="3" r:id="rId4"/>
    <sheet name="Analysis" sheetId="4" r:id="rId5"/>
    <sheet name="Cash flow" sheetId="55" r:id="rId6"/>
    <sheet name="Spider" sheetId="57" r:id="rId7"/>
    <sheet name="Tornado" sheetId="58" r:id="rId8"/>
    <sheet name="IFRS" sheetId="5" state="veryHidden" r:id="rId9"/>
    <sheet name="MacroDef" sheetId="6" state="veryHidden" r:id="rId10"/>
    <sheet name="VarListAnalysis" sheetId="48" state="veryHidden" r:id="rId11"/>
    <sheet name="ChartData01" sheetId="54" state="veryHidden" r:id="rId12"/>
    <sheet name="AnalyzeData" sheetId="56" state="veryHidden" r:id="rId13"/>
    <sheet name="Specs" sheetId="7" state="veryHidden" r:id="rId14"/>
    <sheet name="Specs2" sheetId="8" state="veryHidden" r:id="rId15"/>
    <sheet name="SpecsTxt" sheetId="9" state="veryHidden" r:id="rId16"/>
    <sheet name="Eng1Txt" sheetId="11" state="veryHidden" r:id="rId17"/>
    <sheet name="Fin1Txt" sheetId="12" state="veryHidden" r:id="rId18"/>
    <sheet name="Swe1Txt" sheetId="13" state="veryHidden" r:id="rId19"/>
    <sheet name="Ger1Txt" sheetId="14" state="veryHidden" r:id="rId20"/>
    <sheet name="Pol1Txt" sheetId="15" state="veryHidden" r:id="rId21"/>
    <sheet name="Spa1Txt" sheetId="16" state="veryHidden" r:id="rId22"/>
    <sheet name="Rus1Txt" sheetId="17" state="veryHidden" r:id="rId23"/>
    <sheet name="Bul1Txt" sheetId="49" state="veryHidden" r:id="rId24"/>
    <sheet name="Eng2Txt" sheetId="18" state="veryHidden" r:id="rId25"/>
    <sheet name="Fin2Txt" sheetId="19" state="veryHidden" r:id="rId26"/>
    <sheet name="Swe2Txt" sheetId="20" state="veryHidden" r:id="rId27"/>
    <sheet name="Ger2Txt" sheetId="21" state="veryHidden" r:id="rId28"/>
    <sheet name="Pol2Txt" sheetId="22" state="veryHidden" r:id="rId29"/>
    <sheet name="Spa2Txt" sheetId="23" state="veryHidden" r:id="rId30"/>
    <sheet name="Rus2Txt" sheetId="24" state="veryHidden" r:id="rId31"/>
    <sheet name="Bul2Txt" sheetId="50" state="veryHidden" r:id="rId32"/>
    <sheet name="Eng3Txt" sheetId="25" state="veryHidden" r:id="rId33"/>
    <sheet name="Fin3Txt" sheetId="26" state="veryHidden" r:id="rId34"/>
    <sheet name="Swe3Txt" sheetId="27" state="veryHidden" r:id="rId35"/>
    <sheet name="Ger3Txt" sheetId="28" state="veryHidden" r:id="rId36"/>
    <sheet name="Pol3Txt" sheetId="29" state="veryHidden" r:id="rId37"/>
    <sheet name="Spa3Txt" sheetId="30" state="veryHidden" r:id="rId38"/>
    <sheet name="Rus3Txt" sheetId="31" state="veryHidden" r:id="rId39"/>
    <sheet name="Bul3Txt" sheetId="51" state="veryHidden" r:id="rId40"/>
    <sheet name="Eng4Txt" sheetId="32" state="veryHidden" r:id="rId41"/>
    <sheet name="Fin4Txt" sheetId="33" state="veryHidden" r:id="rId42"/>
    <sheet name="Swe4Txt" sheetId="34" state="veryHidden" r:id="rId43"/>
    <sheet name="Ger4Txt" sheetId="35" state="veryHidden" r:id="rId44"/>
    <sheet name="Pol4Txt" sheetId="36" state="veryHidden" r:id="rId45"/>
    <sheet name="Spa4Txt" sheetId="37" state="veryHidden" r:id="rId46"/>
    <sheet name="Rus4Txt" sheetId="38" state="veryHidden" r:id="rId47"/>
    <sheet name="Bul4Txt" sheetId="52" state="veryHidden" r:id="rId48"/>
    <sheet name="Eng5Txt" sheetId="39" state="veryHidden" r:id="rId49"/>
    <sheet name="Fin5Txt" sheetId="40" state="veryHidden" r:id="rId50"/>
    <sheet name="Swe5Txt" sheetId="41" state="veryHidden" r:id="rId51"/>
    <sheet name="Ger5Txt" sheetId="42" state="veryHidden" r:id="rId52"/>
    <sheet name="Pol5Txt" sheetId="43" state="veryHidden" r:id="rId53"/>
    <sheet name="Spa5Txt" sheetId="44" state="veryHidden" r:id="rId54"/>
    <sheet name="Rus5Txt" sheetId="45" state="veryHidden" r:id="rId55"/>
    <sheet name="Bul5Txt" sheetId="53" state="veryHidden" r:id="rId56"/>
  </sheets>
  <definedNames>
    <definedName name="_Tax1">'Basic Values'!$F$31</definedName>
    <definedName name="_Tax2">'Basic Values'!$G$31</definedName>
    <definedName name="_Tax3">'Basic Values'!$H$31</definedName>
    <definedName name="_Tax4">'Basic Values'!$I$31</definedName>
    <definedName name="_Tax5">'Basic Values'!$J$31</definedName>
    <definedName name="AChartRow0" hidden="1">Analysis!$F$9:$J$9</definedName>
    <definedName name="AChartRow1" hidden="1">Analysis!$F$48:$J$48</definedName>
    <definedName name="AChartRow10" hidden="1">Analysis!$F$410:$J$410</definedName>
    <definedName name="AChartRow11" hidden="1">Analysis!$F$456:$J$456</definedName>
    <definedName name="AChartRow2" hidden="1">Analysis!$F$92:$J$92</definedName>
    <definedName name="AChartRow3" hidden="1">Analysis!$F$136:$J$136</definedName>
    <definedName name="AChartRow4" hidden="1">Analysis!$F$180:$J$180</definedName>
    <definedName name="AChartRow5" hidden="1">Analysis!$F$226:$J$226</definedName>
    <definedName name="AChartRow6" hidden="1">Analysis!$F$9:$J$9</definedName>
    <definedName name="AChartRow7" hidden="1">Analysis!$F$272:$J$272</definedName>
    <definedName name="AChartRow8" hidden="1">Analysis!$F$318:$J$318</definedName>
    <definedName name="AChartRow9" hidden="1">Analysis!$F$364:$J$364</definedName>
    <definedName name="AcqDebtAmount" hidden="1">Specs!$G$52</definedName>
    <definedName name="AcqDebtRate" hidden="1">Specs!$G$15</definedName>
    <definedName name="AcqDebtTime" hidden="1">Specs!$G$13</definedName>
    <definedName name="AcqEquity" hidden="1">Specs!$G$65</definedName>
    <definedName name="AcqEquityCosts" hidden="1">Specs!$G$51</definedName>
    <definedName name="AcqMotherTax" hidden="1">Specs!$G$66</definedName>
    <definedName name="AcqMotherTaxInUse" hidden="1">Specs!$G$67</definedName>
    <definedName name="AdjustDCVAwNetDebt" hidden="1">Specs!$G$39</definedName>
    <definedName name="AFactor" hidden="1">Specs!$B$15</definedName>
    <definedName name="AFactor2" hidden="1">Specs!$I$22</definedName>
    <definedName name="AFactorList" hidden="1">Specs!$A$16:$A$23</definedName>
    <definedName name="AFactorList2">Specs!$I$13:$I$17</definedName>
    <definedName name="AFactorRanges" hidden="1">Specs!$O$77:$O$84</definedName>
    <definedName name="AFactorRanges2">Specs!$O$93:$O$97</definedName>
    <definedName name="AllTxt">SpecsTxt!$K$2</definedName>
    <definedName name="AltCalcPointPB" hidden="1">Specs!$G$25</definedName>
    <definedName name="Analysis01Ratio01" hidden="1">Specs!$K$43</definedName>
    <definedName name="Analysis01Ratio02" hidden="1">Specs!$K$44</definedName>
    <definedName name="Analysis01Ratio03" hidden="1">Specs!$K$45</definedName>
    <definedName name="Analysis01Ratio04" hidden="1">Specs!$K$46</definedName>
    <definedName name="Analysis01Ratio05" hidden="1">Specs!$K$47</definedName>
    <definedName name="Analysis01Ratio06" hidden="1">Specs!$K$48</definedName>
    <definedName name="Analysis02Ratio01" hidden="1">Specs!$K$49</definedName>
    <definedName name="Analysis02Ratio02" hidden="1">Specs!$K$50</definedName>
    <definedName name="Analysis02Ratio03" hidden="1">Specs!$K$51</definedName>
    <definedName name="Analysis02Ratio04" hidden="1">Specs!$K$52</definedName>
    <definedName name="Analysis02Ratio05" hidden="1">Specs!$K$53</definedName>
    <definedName name="Analysis02Ratio06" hidden="1">Specs!$K$54</definedName>
    <definedName name="Analysis03Ratio01" hidden="1">Specs!$K$55</definedName>
    <definedName name="Analysis03Ratio02" hidden="1">Specs!$K$56</definedName>
    <definedName name="Analysis03Ratio03" hidden="1">Specs!$K$57</definedName>
    <definedName name="Analysis03Ratio04" hidden="1">Specs!$K$58</definedName>
    <definedName name="Analysis03Ratio05" hidden="1">Specs!$K$59</definedName>
    <definedName name="Analysis03Ratio06" hidden="1">Specs!$K$60</definedName>
    <definedName name="Analysis04Ratio01" hidden="1">Specs!$K$61</definedName>
    <definedName name="Analysis04Ratio02" hidden="1">Specs!$K$62</definedName>
    <definedName name="Analysis04Ratio03" hidden="1">Specs!$K$63</definedName>
    <definedName name="Analysis04Ratio04" hidden="1">Specs!$K$64</definedName>
    <definedName name="Analysis04Ratio05" hidden="1">Specs!$K$65</definedName>
    <definedName name="Analysis04Ratio06" hidden="1">Specs!$K$66</definedName>
    <definedName name="Analysis05Ratio01" hidden="1">Specs!$K$67</definedName>
    <definedName name="Analysis05Ratio02" hidden="1">Specs!$K$68</definedName>
    <definedName name="Analysis05Ratio03" hidden="1">Specs!$K$69</definedName>
    <definedName name="Analysis05Ratio04" hidden="1">Specs!$K$70</definedName>
    <definedName name="Analysis05Ratio05" hidden="1">Specs!$K$71</definedName>
    <definedName name="Analysis05Ratio06" hidden="1">Specs!$K$72</definedName>
    <definedName name="Analysis06Ratio01" hidden="1">Specs!$K$73</definedName>
    <definedName name="Analysis06Ratio02" hidden="1">Specs!$K$74</definedName>
    <definedName name="Analysis06Ratio03" hidden="1">Specs!$K$75</definedName>
    <definedName name="Analysis06Ratio04" hidden="1">Specs!$K$76</definedName>
    <definedName name="Analysis06Ratio05" hidden="1">Specs!$K$77</definedName>
    <definedName name="Analysis06Ratio06" hidden="1">Specs!$K$78</definedName>
    <definedName name="Analysis07Ratio01" hidden="1">Specs!$N$82</definedName>
    <definedName name="Analysis07Ratio02" hidden="1">Specs!$N$83</definedName>
    <definedName name="Analysis07Ratio03" hidden="1">Specs!$N$84</definedName>
    <definedName name="Analysis07Ratio04" hidden="1">Specs!$N$85</definedName>
    <definedName name="Analysis07Ratio05" hidden="1">Specs!$N$86</definedName>
    <definedName name="Analysis07Ratio06" hidden="1">Specs!$N$87</definedName>
    <definedName name="Analysis08Ratio01" hidden="1">Specs!$N$88</definedName>
    <definedName name="Analysis08Ratio02" hidden="1">Specs!$N$89</definedName>
    <definedName name="Analysis08Ratio03" hidden="1">Specs!$N$90</definedName>
    <definedName name="Analysis08Ratio04" hidden="1">Specs!$N$91</definedName>
    <definedName name="Analysis08Ratio05" hidden="1">Specs!$N$92</definedName>
    <definedName name="Analysis08Ratio06" hidden="1">Specs!$N$93</definedName>
    <definedName name="Analysis09Ratio01" hidden="1">Specs!$N$94</definedName>
    <definedName name="Analysis09Ratio02" hidden="1">Specs!$N$95</definedName>
    <definedName name="Analysis09Ratio03" hidden="1">Specs!$N$96</definedName>
    <definedName name="Analysis09Ratio04" hidden="1">Specs!$N$97</definedName>
    <definedName name="Analysis09Ratio05" hidden="1">Specs!$N$98</definedName>
    <definedName name="Analysis09Ratio06" hidden="1">Specs!$N$99</definedName>
    <definedName name="Analysis10Ratio01" hidden="1">Specs!$N$100</definedName>
    <definedName name="Analysis10Ratio02" hidden="1">Specs!$N$101</definedName>
    <definedName name="Analysis10Ratio03" hidden="1">Specs!$N$102</definedName>
    <definedName name="Analysis10Ratio04" hidden="1">Specs!$N$103</definedName>
    <definedName name="Analysis10Ratio05" hidden="1">Specs!$N$104</definedName>
    <definedName name="Analysis10Ratio06" hidden="1">Specs!$N$105</definedName>
    <definedName name="Analysis11Ratio01" hidden="1">Specs!$N$106</definedName>
    <definedName name="Analysis11Ratio02" hidden="1">Specs!$N$107</definedName>
    <definedName name="Analysis11Ratio03" hidden="1">Specs!$N$108</definedName>
    <definedName name="Analysis11Ratio04" hidden="1">Specs!$N$109</definedName>
    <definedName name="Analysis11Ratio05" hidden="1">Specs!$N$110</definedName>
    <definedName name="Analysis11Ratio06" hidden="1">Specs!$N$111</definedName>
    <definedName name="AnyDisc" hidden="1">Calculations!$R$1</definedName>
    <definedName name="ApplyDetailLevelTo" hidden="1">Specs!$G$11</definedName>
    <definedName name="AutoManualTax" hidden="1">Specs!$G$57</definedName>
    <definedName name="AvgOperMarg">Calculations!$A$488</definedName>
    <definedName name="BadwillOK" hidden="1">Specs!$E$17</definedName>
    <definedName name="BalanceTable">Calculations!$F$712:$Q$841</definedName>
    <definedName name="BalanceTable0">Calculations!$A$710</definedName>
    <definedName name="BalanceTableFull">Calculations!$A$712:$R$842</definedName>
    <definedName name="BalCheck" hidden="1">Specs!$G$18</definedName>
    <definedName name="BalDepr01" hidden="1">Specs!$K$29</definedName>
    <definedName name="BalDepr02" hidden="1">Specs!$K$30</definedName>
    <definedName name="BalDepr03" hidden="1">Specs!$K$31</definedName>
    <definedName name="BalDepr04" hidden="1">Specs!$K$32</definedName>
    <definedName name="BalDepr05" hidden="1">Specs!$K$33</definedName>
    <definedName name="BalDepr06" hidden="1">Specs!$K$34</definedName>
    <definedName name="BalDepr07" hidden="1">Specs!$K$35</definedName>
    <definedName name="BalDepr08" hidden="1">Specs!$K$37</definedName>
    <definedName name="BalDepr09" hidden="1">Specs!$K$38</definedName>
    <definedName name="BalDepr1" hidden="1">Specs!$I$2</definedName>
    <definedName name="BalDepr10" hidden="1">Specs!$K$39</definedName>
    <definedName name="BalDepr11" hidden="1">Specs!$K$40</definedName>
    <definedName name="BalDepr12" hidden="1">Specs!$K$41</definedName>
    <definedName name="BalDepr13" hidden="1">Specs!$K$36</definedName>
    <definedName name="BalDepr2" hidden="1">Specs!$I$4</definedName>
    <definedName name="BalDepr3" hidden="1">Specs!$I$6</definedName>
    <definedName name="BalDeprDD" hidden="1">Specs!$J$2:$J$4</definedName>
    <definedName name="BalDeprPerc01" hidden="1">Calculations!$D$721</definedName>
    <definedName name="BalDeprPerc02" hidden="1">Calculations!$D$725</definedName>
    <definedName name="BalDeprPerc03" hidden="1">Calculations!$D$729</definedName>
    <definedName name="BalDeprPerc04" hidden="1">Calculations!$D$733</definedName>
    <definedName name="BalDeprPerc05" hidden="1">Calculations!$D$738</definedName>
    <definedName name="BalDeprPerc06" hidden="1">Calculations!$D$742</definedName>
    <definedName name="BalDeprPerc07" hidden="1">Calculations!$D$746</definedName>
    <definedName name="BalDeprPerc08" hidden="1">Calculations!$D$754</definedName>
    <definedName name="BalDeprPerc09" hidden="1">Calculations!$D$759</definedName>
    <definedName name="BalDeprPerc10" hidden="1">Calculations!$D$763</definedName>
    <definedName name="BalDeprPerc11" hidden="1">Calculations!$D$767</definedName>
    <definedName name="BalDeprPerc12" hidden="1">Calculations!$D$771</definedName>
    <definedName name="BalDeprPerc13">Calculations!$D$750</definedName>
    <definedName name="BasicValues">'Basic Values'!$C$3:$K$31</definedName>
    <definedName name="BasicValuesFull">'Basic Values'!$B$2:$L$32</definedName>
    <definedName name="BasicValuesView">'Basic Values'!$A$1:$L$32</definedName>
    <definedName name="BeginEnd">'Basic Values'!$J$13</definedName>
    <definedName name="CalcPoint" hidden="1">Specs!$G$22</definedName>
    <definedName name="CalcPointPB" hidden="1">Specs!$G$23</definedName>
    <definedName name="CalculatedDepreciation" hidden="1">Specs!$I$39</definedName>
    <definedName name="CalculatedTax1" hidden="1">Calculations!$G$1088:$Q$1088</definedName>
    <definedName name="CalculatedTax2" hidden="1">Calculations!$G$1089:$Q$1089</definedName>
    <definedName name="CalculatedTax3" hidden="1">Calculations!$G$1090:$Q$1090</definedName>
    <definedName name="CalculatedTax4" hidden="1">Calculations!$G$1091:$Q$1091</definedName>
    <definedName name="CapFinOnAsset" hidden="1">Specs!$G$72</definedName>
    <definedName name="CapFinPeriod" hidden="1">Specs!$G$73</definedName>
    <definedName name="CashFlowPeriods">Specs2!$A$2:$A$66</definedName>
    <definedName name="CashFlowTable">Calculations!$F$630:$Q$708</definedName>
    <definedName name="CashflowTable0">Calculations!$A$628</definedName>
    <definedName name="CashFlowTableFull">Calculations!$A$630:$R$709</definedName>
    <definedName name="ChangeTxt">SpecsTxt!$J$22</definedName>
    <definedName name="ChartPeriodLookup">ChartData01!$F$1:$Q$1</definedName>
    <definedName name="CodeCol" hidden="1">Result!$M$4</definedName>
    <definedName name="CodList01">VarListAnalysis!$A$2:$A$15</definedName>
    <definedName name="ColHeaders" hidden="1">Calculations!$G$16:$Q$16</definedName>
    <definedName name="ColHeaders2" hidden="1">Calculations!$H$16:$Q$16</definedName>
    <definedName name="ColHeadersR">Specs!$B$20:$B$29</definedName>
    <definedName name="ColHeadersR2">Specs!$B$21:$B$29</definedName>
    <definedName name="ColLabels">Calculations!$F$6:$Q$6</definedName>
    <definedName name="Compilation" hidden="1">Specs!$B$3</definedName>
    <definedName name="ConnectionFeesInUse" hidden="1">Specs!$E$18</definedName>
    <definedName name="ConsTxt">SpecsTxt!$I$32</definedName>
    <definedName name="ContactInfo">'Basic Values'!$C$45:$K$70</definedName>
    <definedName name="ContactInfoFull">'Basic Values'!$B$44:$L$71</definedName>
    <definedName name="ContactInfoView">'Basic Values'!$A$41:$L$71</definedName>
    <definedName name="CorrDebtResidual" hidden="1">Specs!$J$14</definedName>
    <definedName name="CreatedWithProgVersion" hidden="1">Specs!$I$41</definedName>
    <definedName name="CumMonths">Calculations!$G$1040:$Q$1040</definedName>
    <definedName name="Currency">'Basic Values'!$F$21</definedName>
    <definedName name="CurrencyfileCons" hidden="1">Specs!$I$77</definedName>
    <definedName name="CurrencyTranslationCons" hidden="1">Specs!$I$75</definedName>
    <definedName name="DCVAAdjust" hidden="1">Specs!$G$34</definedName>
    <definedName name="DcvaCG" hidden="1">Specs!$G$38</definedName>
    <definedName name="DCVAResidual" hidden="1">Specs!$G$35</definedName>
    <definedName name="DebtCashFlow">Specs2!$D$2:$D$66</definedName>
    <definedName name="DemoVersion" hidden="1">Specs!$G$1</definedName>
    <definedName name="DetailCodes" hidden="1">Calculations!$S$1</definedName>
    <definedName name="DetailLevels" hidden="1">Specs!$F$5:$F$10</definedName>
    <definedName name="DetailLevelSheet" hidden="1">Specs!$G$4</definedName>
    <definedName name="DiscAnalysis">Analysis!$B$2:$L$41</definedName>
    <definedName name="DiscAnalysisView">Analysis!$A$1:$L$41</definedName>
    <definedName name="DiscFinCashFlow">Calculations!$G$1207:$Q$1207</definedName>
    <definedName name="DiscMonth">'Basic Values'!$F$25</definedName>
    <definedName name="DiscMonthEquity">'Basic Values'!$F$28</definedName>
    <definedName name="DiscNetCashFlow">Calculations!$G$681:$Q$681</definedName>
    <definedName name="DiscNetCashFlowEquity">Calculations!$G$698:$Q$698</definedName>
    <definedName name="DiscOperCashFlow">Calculations!$G$1083:$Q$1083</definedName>
    <definedName name="DiscountFactorAnalysisHidden" hidden="1">Specs!$G$59</definedName>
    <definedName name="DiscPayBack">Calculations!$G$1039:$Q$1042</definedName>
    <definedName name="DiscPayBackDCVA">Calculations!$G$1214:$Q$1217</definedName>
    <definedName name="DiscPayBackEquity">Calculations!$G$1210:$Q$1213</definedName>
    <definedName name="DiscPaybackPeriod">Calculations!$G$1040:$Q$1042</definedName>
    <definedName name="DiscPeriod">'Basic Values'!$F$24</definedName>
    <definedName name="DiscPeriod2">'Basic Values'!$G$24</definedName>
    <definedName name="DiscPeriod2Equity">'Basic Values'!$G$27</definedName>
    <definedName name="DiscPeriodEquity">'Basic Values'!$F$27</definedName>
    <definedName name="DiscTotalInvestment">Calculations!$G$14:$Q$14</definedName>
    <definedName name="DiscYear">'Basic Values'!$F$23</definedName>
    <definedName name="DiscYearEquity">'Basic Values'!$F$26</definedName>
    <definedName name="DistributeStore" hidden="1">Specs!$J$113</definedName>
    <definedName name="DontCompound" hidden="1">Specs!$G$21</definedName>
    <definedName name="DontCompoundPB" hidden="1">Specs!$G$24</definedName>
    <definedName name="EbitdaIndex" hidden="1">Specs!$A$38</definedName>
    <definedName name="ElimGroupCol">Eliminations!$F$4</definedName>
    <definedName name="ElimGroups" hidden="1">Specs!$N$2:$N$26</definedName>
    <definedName name="ElimGroupsInUse" hidden="1">Specs!$M$2</definedName>
    <definedName name="ElimLastCol">Eliminations!$T$3</definedName>
    <definedName name="ElimResidualColumn">Eliminations!$T$1</definedName>
    <definedName name="ElimsApply" hidden="1">Specs!$M$6</definedName>
    <definedName name="ElimSheetInUse" hidden="1">Specs!$M$4</definedName>
    <definedName name="ElimStart">Eliminations!$H$3</definedName>
    <definedName name="ElimTxt">SpecsTxt!$I$22</definedName>
    <definedName name="ElimZeroCol">Eliminations!$J$3</definedName>
    <definedName name="ElimZeroPeriod">Eliminations!$J$1</definedName>
    <definedName name="EndOfFinancialYear" hidden="1">'Basic Values'!$H$34</definedName>
    <definedName name="Eng2TxtStart" localSheetId="31" hidden="1">Bul2Txt!$B$20</definedName>
    <definedName name="Eng2TxtStart" localSheetId="30" hidden="1">Rus2Txt!$B$20</definedName>
    <definedName name="Eng2TxtStart" hidden="1">Eng2Txt!$B$20</definedName>
    <definedName name="EvaBAT" hidden="1">Specs!$E$16</definedName>
    <definedName name="EvaCG" hidden="1">Specs!$G$20</definedName>
    <definedName name="ExampleFile" hidden="1">Specs!$G$3</definedName>
    <definedName name="ExchangeRates" hidden="1">Specs!$T$1</definedName>
    <definedName name="FCFEinUse" hidden="1">Specs!$G$45</definedName>
    <definedName name="Figures">'Basic Values'!$F$20</definedName>
    <definedName name="FiguresList" hidden="1">'Basic Values'!$R$3:$R$5</definedName>
    <definedName name="FileLocked" hidden="1">Specs!$R$6</definedName>
    <definedName name="FileVersion" hidden="1">Specs!$B$2</definedName>
    <definedName name="FilteredLanguages" hidden="1">Specs!$V$2:$V$11</definedName>
    <definedName name="Fin2TxtStart" hidden="1">Fin2Txt!$B$20</definedName>
    <definedName name="FinIncludeDebt" hidden="1">Specs!$J$19</definedName>
    <definedName name="FinIncludeEquity" hidden="1">Specs!$J$17</definedName>
    <definedName name="FinMonth">'Basic Values'!$F$36</definedName>
    <definedName name="FinYear">'Basic Values'!$G$36</definedName>
    <definedName name="FinYearCol01" hidden="1">Specs!$N$65</definedName>
    <definedName name="FinYearCol02" hidden="1">Specs!$N$66</definedName>
    <definedName name="FinYearCol03" hidden="1">Specs!$N$67</definedName>
    <definedName name="FinYearCol04" hidden="1">Specs!$N$68</definedName>
    <definedName name="FinYearCol05" hidden="1">Specs!$N$69</definedName>
    <definedName name="FinYearCol06" hidden="1">Specs!$N$70</definedName>
    <definedName name="FinYearCol07" hidden="1">Specs!$N$71</definedName>
    <definedName name="FinYearCol08" hidden="1">Specs!$N$72</definedName>
    <definedName name="FinYearCol09" hidden="1">Specs!$N$73</definedName>
    <definedName name="FinYearCol10" hidden="1">Specs!$N$74</definedName>
    <definedName name="FinYearCol11" hidden="1">Specs!$N$75</definedName>
    <definedName name="FinYearR" hidden="1">Specs!$C$17</definedName>
    <definedName name="FinYearR01" hidden="1">Specs!$N$54</definedName>
    <definedName name="FinYearR02" hidden="1">Specs!$N$55</definedName>
    <definedName name="FinYearR03" hidden="1">Specs!$N$56</definedName>
    <definedName name="FinYearR04" hidden="1">Specs!$N$57</definedName>
    <definedName name="FinYearR05" hidden="1">Specs!$N$58</definedName>
    <definedName name="FinYearR06" hidden="1">Specs!$N$59</definedName>
    <definedName name="FinYearR07" hidden="1">Specs!$N$60</definedName>
    <definedName name="FinYearR08" hidden="1">Specs!$N$61</definedName>
    <definedName name="FinYearR09" hidden="1">Specs!$N$62</definedName>
    <definedName name="FinYearR10" hidden="1">Specs!$N$63</definedName>
    <definedName name="FinYearR11" hidden="1">Specs!$N$64</definedName>
    <definedName name="FinYearRIndex" hidden="1">Specs!$C$15</definedName>
    <definedName name="FinYearRIndex01" hidden="1">Specs!$N$43</definedName>
    <definedName name="FinYearRIndex02" hidden="1">Specs!$N$44</definedName>
    <definedName name="FinYearRIndex03" hidden="1">Specs!$N$45</definedName>
    <definedName name="FinYearRIndex04" hidden="1">Specs!$N$46</definedName>
    <definedName name="FinYearRIndex05" hidden="1">Specs!$N$47</definedName>
    <definedName name="FinYearRIndex06" hidden="1">Specs!$N$48</definedName>
    <definedName name="FinYearRIndex07" hidden="1">Specs!$N$49</definedName>
    <definedName name="FinYearRIndex08" hidden="1">Specs!$N$50</definedName>
    <definedName name="FinYearRIndex09" hidden="1">Specs!$N$51</definedName>
    <definedName name="FinYearRIndex10" hidden="1">Specs!$N$52</definedName>
    <definedName name="FinYearRIndex11" hidden="1">Specs!$N$53</definedName>
    <definedName name="FinYearsH">Specs!$A$40:$A$45</definedName>
    <definedName name="FinYearsNeg">Specs!$D$20:$D$25</definedName>
    <definedName name="FinYearsPos">Specs!$E$20:$E$25</definedName>
    <definedName name="FinYearsR">Specs!$C$20:$C$25</definedName>
    <definedName name="FixedCostAnalysis">Analysis!$B$176:$L$218</definedName>
    <definedName name="FixedCostAnalysisHidden" hidden="1">Specs!$G$63</definedName>
    <definedName name="FixedCostAnalysisView">Analysis!$A$176:$L$218</definedName>
    <definedName name="Ger2TxtStart" hidden="1">Ger2Txt!$B$20</definedName>
    <definedName name="GoodwillDepreciationTax" hidden="1">Specs!$G$58</definedName>
    <definedName name="GroupTxt">SpecsTxt!$J$12</definedName>
    <definedName name="GWTime" hidden="1">Specs!$G$17</definedName>
    <definedName name="GWtype" hidden="1">Specs!$K$5</definedName>
    <definedName name="GWtypeDD" hidden="1">Specs!$K$2:$K$3</definedName>
    <definedName name="HiddenCol2">Result!$P$1</definedName>
    <definedName name="History0" hidden="1">'Basic Values'!$N$5</definedName>
    <definedName name="ID" hidden="1">Calculations!$E$6</definedName>
    <definedName name="IFRSAlloc01" hidden="1">Specs!$N$29</definedName>
    <definedName name="IFRSAlloc02" hidden="1">Specs!$N$30</definedName>
    <definedName name="IFRSAlloc03" hidden="1">Specs!$N$31</definedName>
    <definedName name="IFRSAlloc04" hidden="1">Specs!$N$32</definedName>
    <definedName name="IFRSAlloc05" hidden="1">Specs!$N$33</definedName>
    <definedName name="IFRSAlloc06" hidden="1">Specs!$N$34</definedName>
    <definedName name="IFRSAlloc07" hidden="1">Specs!$N$35</definedName>
    <definedName name="IFRSAlloc08" hidden="1">Specs!$N$37</definedName>
    <definedName name="IFRSAlloc09" hidden="1">Specs!$N$38</definedName>
    <definedName name="IFRSAlloc10" hidden="1">Specs!$N$39</definedName>
    <definedName name="IFRSAlloc11" hidden="1">Specs!$N$40</definedName>
    <definedName name="IFRSAlloc12" hidden="1">Specs!$N$41</definedName>
    <definedName name="IFRSAlloc13" hidden="1">Specs!$N$36</definedName>
    <definedName name="IFRSallocDD" hidden="1">Specs!$L$29:$L$41</definedName>
    <definedName name="IFRSCumulative" hidden="1">Specs!$K$7</definedName>
    <definedName name="IFRSDepr01" hidden="1">Specs!$O$29</definedName>
    <definedName name="IFRSDepr02" hidden="1">Specs!$O$30</definedName>
    <definedName name="IFRSDepr03" hidden="1">Specs!$O$31</definedName>
    <definedName name="IFRSDepr04" hidden="1">Specs!$O$32</definedName>
    <definedName name="IFRSDepr05" hidden="1">Specs!$O$33</definedName>
    <definedName name="IFRSDepr06" hidden="1">Specs!$O$34</definedName>
    <definedName name="IFRSDepr07" hidden="1">Specs!$O$35</definedName>
    <definedName name="IFRSDepr08" hidden="1">Specs!$O$37</definedName>
    <definedName name="IFRSDepr09" hidden="1">Specs!$O$38</definedName>
    <definedName name="IFRSDepr10" hidden="1">Specs!$O$39</definedName>
    <definedName name="IFRSDepr11" hidden="1">Specs!$O$40</definedName>
    <definedName name="IFRSDepr12" hidden="1">Specs!$O$41</definedName>
    <definedName name="IFRSDepr13" hidden="1">Specs!$O$36</definedName>
    <definedName name="IFRSFull">IFRS!$C$5:$Q$121</definedName>
    <definedName name="IFRSKeyFigures" hidden="1">Specs!$I$37</definedName>
    <definedName name="IFRSLastColumn" hidden="1">IFRS!$R$1</definedName>
    <definedName name="IFRSPercent01" hidden="1">Calculations!$D$350</definedName>
    <definedName name="IFRSPercent02" hidden="1">Calculations!$D$353</definedName>
    <definedName name="IFRSPercent03" hidden="1">Calculations!$D$356</definedName>
    <definedName name="IFRSPercent04" hidden="1">Calculations!$D$359</definedName>
    <definedName name="IFRSPercent05" hidden="1">Calculations!$D$362</definedName>
    <definedName name="IFRSPercent06" hidden="1">Calculations!$D$365</definedName>
    <definedName name="IFRSPercent07" hidden="1">Calculations!$D$368</definedName>
    <definedName name="IFRSPercent08" hidden="1">Calculations!$D$371</definedName>
    <definedName name="IFRSPercent09" hidden="1">Calculations!$D$374</definedName>
    <definedName name="IFRSPercent10" hidden="1">Calculations!$D$377</definedName>
    <definedName name="IFRSPercent11" hidden="1">Calculations!$D$380</definedName>
    <definedName name="IFRSPercent12" hidden="1">Calculations!$D$383</definedName>
    <definedName name="IFRSPrint">IFRS!$H$5:$Q$120</definedName>
    <definedName name="IFRSSheetInUse" hidden="1">Specs!$I$35</definedName>
    <definedName name="IFRSZeroPeriod" hidden="1">IFRS!$H$1</definedName>
    <definedName name="ImpairmentFinancialAssets" hidden="1">Specs!$G$71</definedName>
    <definedName name="ImpairmentTestDate" hidden="1">Result!$F$62</definedName>
    <definedName name="ImpairmentWorkingCapital" hidden="1">Specs!$G$70</definedName>
    <definedName name="InclFinTax" hidden="1">Specs!$G$55</definedName>
    <definedName name="InclPosTax" hidden="1">Specs!$G$56</definedName>
    <definedName name="IncomeAnalysisHidden" hidden="1">Specs!$G$61</definedName>
    <definedName name="IncomeTable">Calculations!$F$439:$Q$538</definedName>
    <definedName name="IncomeTable0">Calculations!$A$437</definedName>
    <definedName name="IncomeTableFull">Calculations!$A$439:$R$539</definedName>
    <definedName name="IncomeVariableAnalysisHidden" hidden="1">Specs!$G$64</definedName>
    <definedName name="IncomeVariables" hidden="1">Calculations!$C$443:$C$450</definedName>
    <definedName name="IncVar1" hidden="1">Specs!$K$9</definedName>
    <definedName name="IncVar2" hidden="1">Specs!$K$11</definedName>
    <definedName name="IncVar3" hidden="1">Specs!$K$13</definedName>
    <definedName name="IncVar4" hidden="1">Specs!$K$15</definedName>
    <definedName name="IncVar5" hidden="1">Specs!$K$17</definedName>
    <definedName name="IncVar6" hidden="1">Specs!$K$19</definedName>
    <definedName name="IncVarAnalysis1" hidden="1">Analysis!$B$220:$L$264</definedName>
    <definedName name="IncVarAnalysis1View" hidden="1">Analysis!$A$220:$L$264</definedName>
    <definedName name="IncVarAnalysis2">Analysis!$B$266:$L$310</definedName>
    <definedName name="IncVarAnalysis2View">Analysis!$A$266:$L$310</definedName>
    <definedName name="IncVarAnalysis3">Analysis!$B$312:$L$356</definedName>
    <definedName name="IncVarAnalysis3View">Analysis!$A$312:$L$356</definedName>
    <definedName name="IncVarAnalysis4">Analysis!$B$358:$L$402</definedName>
    <definedName name="IncVarAnalysis4View">Analysis!$A$358:$L$402</definedName>
    <definedName name="IncVarAnalysis5">Analysis!$B$404:$L$448</definedName>
    <definedName name="IncVarAnalysis5View">Analysis!$A$404:$L$448</definedName>
    <definedName name="IncVarAnalysis6">Analysis!$B$450:$L$494</definedName>
    <definedName name="IncVarAnalysis6View">Analysis!$A$450:$L$494</definedName>
    <definedName name="IndexTxt">SpecsTxt!$J$32</definedName>
    <definedName name="InvCallerRowCodes" hidden="1">Specs!$I$43:$I$72</definedName>
    <definedName name="InvDate">'Basic Values'!$E$56</definedName>
    <definedName name="InventFirstName" hidden="1">Specs!$K$23</definedName>
    <definedName name="InventHidden1" hidden="1">Specs!$K$27</definedName>
    <definedName name="InventNoOf" hidden="1">Specs!$K$25</definedName>
    <definedName name="Invento00" hidden="1">Specs!$AL$2</definedName>
    <definedName name="Invento01" hidden="1">Specs!$AM$2:$AM$2</definedName>
    <definedName name="Invento02" hidden="1">Specs!$AN$2</definedName>
    <definedName name="Invento03" hidden="1">Specs!$AO$2</definedName>
    <definedName name="Invento04" hidden="1">Specs!$AP$2</definedName>
    <definedName name="Invento05" hidden="1">Specs!$AQ$2:$AQ$2</definedName>
    <definedName name="InventoriesSpec" hidden="1">Specs!$K$21</definedName>
    <definedName name="Investment">'Basic Values'!$F$5</definedName>
    <definedName name="InvestmentAnalysis">Analysis!$B$43:$L$86</definedName>
    <definedName name="InvestmentAnalysisView">Analysis!$A$43:$L$86</definedName>
    <definedName name="InvestTable">Calculations!$F$11:$Q$432</definedName>
    <definedName name="InvestTable0">Calculations!$A$8</definedName>
    <definedName name="InvestTableFull">Calculations!$A$11:$R$436</definedName>
    <definedName name="InvFileType" hidden="1">Specs!$B$5</definedName>
    <definedName name="InvInfo" hidden="1">Specs!$V$15</definedName>
    <definedName name="InvMonth">'Basic Values'!$F$34</definedName>
    <definedName name="InvOrAcq" hidden="1">Specs!$B$8</definedName>
    <definedName name="InvTime">'Basic Values'!$J$5</definedName>
    <definedName name="InvTime2">'Basic Values'!$K$5</definedName>
    <definedName name="InvTimeEnds">'Basic Values'!$F$18</definedName>
    <definedName name="InvTimeMonths">'Basic Values'!$J$7</definedName>
    <definedName name="InvTimeMonths2">'Basic Values'!$K$7</definedName>
    <definedName name="InvYear">'Basic Values'!$G$34</definedName>
    <definedName name="IrrCashFlow">Specs2!$B$2:$B$66</definedName>
    <definedName name="IrrCashFlowEquity">Specs2!$F$2:$F$66</definedName>
    <definedName name="IRRLimit" hidden="1">Specs!$G$125</definedName>
    <definedName name="IRRLimitEquity" hidden="1">Specs!$G$176</definedName>
    <definedName name="KeyFiguresTable">Calculations!$F$845:$Q$907</definedName>
    <definedName name="KeyFiguresTable0">Calculations!$A$843</definedName>
    <definedName name="KeyFiguresTableFull">Calculations!$A$845:$R$908</definedName>
    <definedName name="Language">'Basic Values'!$A$16</definedName>
    <definedName name="LastMonth">'Basic Values'!$F$37</definedName>
    <definedName name="LastPeriod">'Basic Values'!$J$48</definedName>
    <definedName name="LastYear">'Basic Values'!$G$37</definedName>
    <definedName name="LoanEnterOrProFin" hidden="1">Specs!$G$50</definedName>
    <definedName name="MacroMsg" hidden="1">SpecsTxt!$G$2</definedName>
    <definedName name="MacroWorkbookMsg" hidden="1">SpecsTxt!$F$2</definedName>
    <definedName name="MacroWorkbookName" hidden="1">MacroDef!$A$2</definedName>
    <definedName name="MaxIRR" hidden="1">Specs!$F$124</definedName>
    <definedName name="MaxIRRbt" hidden="1">Specs!$F$227</definedName>
    <definedName name="MaxIRREquity" hidden="1">Specs!$F$175</definedName>
    <definedName name="MaxIRREquitybt" hidden="1">Specs!$F$278</definedName>
    <definedName name="MidyearTxt">SpecsTxt!$K$12</definedName>
    <definedName name="MinIRR" hidden="1">Specs!$F$122</definedName>
    <definedName name="MinIRRbt" hidden="1">Specs!$F$225</definedName>
    <definedName name="MinIRREquity" hidden="1">Specs!$F$173</definedName>
    <definedName name="MinIRREquitybt" hidden="1">Specs!$F$276</definedName>
    <definedName name="MirrdCashFlow">Specs2!$G$2:$G$66</definedName>
    <definedName name="MYDisc">Specs!$B$10</definedName>
    <definedName name="NABase" hidden="1">Specs!$E$14</definedName>
    <definedName name="NetCashFlow">Calculations!$G$680:$Q$680</definedName>
    <definedName name="NetCashFlowEquity">Calculations!$G$697:$Q$697</definedName>
    <definedName name="NetDebtOption" hidden="1">Specs!$G$36</definedName>
    <definedName name="NoOfPeriods">'Basic Values'!$F$13</definedName>
    <definedName name="NoOfPeriods2">'Basic Values'!$G$13</definedName>
    <definedName name="NoResCol" hidden="1">Specs!$G$27</definedName>
    <definedName name="NotDiscPayback">Calculations!$G$1221:$Q$1224</definedName>
    <definedName name="NotDiscPaybackEquity">Calculations!$G$1225:$Q$1228</definedName>
    <definedName name="NotInUseTxt">SpecsTxt!$I$2</definedName>
    <definedName name="NoZeroCol" hidden="1">Specs!$G$26</definedName>
    <definedName name="OffBal01" hidden="1">Calculations!$A$328:$A$333</definedName>
    <definedName name="OffBal02" hidden="1">Calculations!$A$676:$A$679</definedName>
    <definedName name="OneOrManyPeriod" hidden="1">Specs!$R$4</definedName>
    <definedName name="Operators" hidden="1">Calculations!$D$2:$D$6</definedName>
    <definedName name="Operators1" hidden="1">Calculations!$C$2:$C$4</definedName>
    <definedName name="OperBegins" hidden="1">'Basic Values'!$H$35</definedName>
    <definedName name="OperMonth">'Basic Values'!$F$35</definedName>
    <definedName name="OperTxt">'Basic Values'!$G$7</definedName>
    <definedName name="OperYear">'Basic Values'!$G$35</definedName>
    <definedName name="Payable00" hidden="1">Specs!$AR$2</definedName>
    <definedName name="Payable01" hidden="1">Specs!$AS$2:$AS$2</definedName>
    <definedName name="Payable02" hidden="1">Specs!$AT$2</definedName>
    <definedName name="Payable03" hidden="1">Specs!$AU$2</definedName>
    <definedName name="Payable04" hidden="1">Specs!$AV$2</definedName>
    <definedName name="Payable05" hidden="1">Specs!$AW$2:$AW$2</definedName>
    <definedName name="PayableFirstName" hidden="1">Specs!$L$23</definedName>
    <definedName name="PayableHidden1" hidden="1">Specs!$L$27</definedName>
    <definedName name="PayableNoOf" hidden="1">Specs!$L$25</definedName>
    <definedName name="PayablesSpec" hidden="1">Specs!$L$21</definedName>
    <definedName name="Period">'Basic Values'!$F$12</definedName>
    <definedName name="Period2">'Basic Values'!$G$12</definedName>
    <definedName name="Periodization" hidden="1">Specs!$R$8</definedName>
    <definedName name="PeriodType" hidden="1">Specs!$G$31</definedName>
    <definedName name="PerpetuityBaseValue">Result!$J$22</definedName>
    <definedName name="PerpetuityBaseValueEquity">Result!$J$102</definedName>
    <definedName name="PerpetuityBasisEntered">Result!$F$22</definedName>
    <definedName name="PerpetuityBasisEnteredEquity">Result!$F$102</definedName>
    <definedName name="PerpetuityDiscRate">Result!$J$24</definedName>
    <definedName name="PerpetuityDiscRateEquity">Result!$J$104</definedName>
    <definedName name="PerpetuityEnter" hidden="1">Specs!$G$43</definedName>
    <definedName name="PerpetuityEnterEquity" hidden="1">Specs!$G$48</definedName>
    <definedName name="PerpetuityGrowing" hidden="1">Specs!$G$44</definedName>
    <definedName name="PerpetuityGrowingEquity" hidden="1">Specs!$G$49</definedName>
    <definedName name="PerpetuityGrowthPercent">Result!$F$28</definedName>
    <definedName name="PerpetuityGrowthPercentEquity">Result!$F$108</definedName>
    <definedName name="PerpetuityIndex" hidden="1">Specs!$G$41</definedName>
    <definedName name="PerpetuityIndexEquity" hidden="1">Specs!$G$46</definedName>
    <definedName name="PerpetuityLimitation" hidden="1">Specs!$G$68</definedName>
    <definedName name="PerpetuityLimitationEquity" hidden="1">Specs!$G$69</definedName>
    <definedName name="PerpetuityLimited" hidden="1">Specs!$Z$78</definedName>
    <definedName name="PerpetuityLimitedEquity" hidden="1">Specs!$AB$78</definedName>
    <definedName name="PerpetuityLimitList" hidden="1">Specs!$V$78:$V$178</definedName>
    <definedName name="PerpetuityPV">Result!$J$28</definedName>
    <definedName name="PerpetuityPVEquity">Result!$J$108</definedName>
    <definedName name="PerpetuityValue">Result!$J$26</definedName>
    <definedName name="PerpetuityValueEquity">Result!$J$106</definedName>
    <definedName name="PerpetuityYear" hidden="1">Specs!$G$42</definedName>
    <definedName name="PerpetuityYearEquity" hidden="1">Specs!$G$47</definedName>
    <definedName name="PerpText" hidden="1">Specs!$X$77</definedName>
    <definedName name="PILimit">1</definedName>
    <definedName name="PreTaxCashFlow">Specs2!$E$2:$E$66</definedName>
    <definedName name="PreTaxCashFlowEquity">Specs2!$H$2:$H$66</definedName>
    <definedName name="_xlnm.Print_Area" localSheetId="4">Analysis!$B$2:$L$264</definedName>
    <definedName name="_xlnm.Print_Area" localSheetId="0">'Basic Values'!$B$2:$L$71</definedName>
    <definedName name="_xlnm.Print_Area" localSheetId="1">Calculations!$A$15:$S$908</definedName>
    <definedName name="_xlnm.Print_Area" localSheetId="8">IFRS!$C$5:$R$120</definedName>
    <definedName name="_xlnm.Print_Area" localSheetId="3">Result!$B$2:$L$128</definedName>
    <definedName name="_xlnm.Print_Titles" localSheetId="1">Calculations!$B:$D</definedName>
    <definedName name="_xlnm.Print_Titles" localSheetId="8">IFRS!$C:$G</definedName>
    <definedName name="_xlnm.Print_Titles" localSheetId="9">MacroDef!$1:$3</definedName>
    <definedName name="PrintMode" hidden="1">Specs!$I$11</definedName>
    <definedName name="ProgMsg" hidden="1">SpecsTxt!$E$12</definedName>
    <definedName name="Ratio" hidden="1">Specs!$R$2</definedName>
    <definedName name="RatioRows" hidden="1">Specs!$O$44:$O$74</definedName>
    <definedName name="RatiosDD">Calculations!$A$842:$A$907</definedName>
    <definedName name="ReceivablesSpec" hidden="1">Specs!$J$21</definedName>
    <definedName name="Receive00" hidden="1">Specs!$AF$2</definedName>
    <definedName name="Receive01" hidden="1">Specs!$AG$2:$AG$3</definedName>
    <definedName name="Receive02" hidden="1">Specs!$AH$2:$AH$3</definedName>
    <definedName name="Receive03" hidden="1">Specs!$AI$2</definedName>
    <definedName name="Receive04" hidden="1">Specs!$AJ$2:$AJ$3</definedName>
    <definedName name="Receive05" hidden="1">Specs!$AK$2:$AK$3</definedName>
    <definedName name="ReceiveFirstName" hidden="1">Specs!$J$23</definedName>
    <definedName name="ReceiveHidden1" hidden="1">Specs!$J$27</definedName>
    <definedName name="ReceiveNoOf" hidden="1">Specs!$J$25</definedName>
    <definedName name="ResidualTxt" hidden="1">SpecsTxt!$F$12</definedName>
    <definedName name="ResultAverageEVA">Result!$F$79</definedName>
    <definedName name="ResultAverageRONA">Result!$F$78</definedName>
    <definedName name="ResultBookValue">Result!$F$63</definedName>
    <definedName name="ResultContinuousInvestmentsPV">Result!$F$35</definedName>
    <definedName name="ResultControlValue">Result!$F$65</definedName>
    <definedName name="ResultDCF">Result!$F$15</definedName>
    <definedName name="ResultDCFEquity">Result!$F$95</definedName>
    <definedName name="ResultDCVA">Result!$F$81</definedName>
    <definedName name="ResultDebtCorrection">Result!$F$110</definedName>
    <definedName name="ResultEnterpriseValue">Result!$F$33</definedName>
    <definedName name="ResultEquityValue">Result!$F$48</definedName>
    <definedName name="ResultEVAMonths" hidden="1">Specs!$I$26</definedName>
    <definedName name="ResultInvestmentProposalNominal">Result!$E$55</definedName>
    <definedName name="ResultInvestmentProposalPV">Result!$F$55</definedName>
    <definedName name="ResultIRR">Result!$F$67</definedName>
    <definedName name="ResultIRRBeforeTax">Result!$F$68</definedName>
    <definedName name="ResultIRRBeforeTaxEquity">Result!$F$115</definedName>
    <definedName name="ResultIRRd">Result!$F$83</definedName>
    <definedName name="ResultIRREquity">Result!$F$114</definedName>
    <definedName name="ResultMIRR">Result!$F$69</definedName>
    <definedName name="ResultMIRRd">Result!$F$84</definedName>
    <definedName name="ResultMIRREquity">Result!$F$116</definedName>
    <definedName name="ResultNetDebt">Result!$F$38</definedName>
    <definedName name="ResultNotes" hidden="1">Result!$H$14</definedName>
    <definedName name="ResultNPV">Result!$F$57</definedName>
    <definedName name="ResultNPVEquity">Result!$F$111</definedName>
    <definedName name="ResultNPVEquityMonthlyAnnuity">Result!$F$112</definedName>
    <definedName name="ResultNPVMonthlyAnnuity">Result!$F$58</definedName>
    <definedName name="ResultPayback">Result!$F$72</definedName>
    <definedName name="ResultPaybackd">Result!$F$86</definedName>
    <definedName name="ResultPaybackEquity">Result!$F$118</definedName>
    <definedName name="ResultPI">Result!$F$70</definedName>
    <definedName name="ResultPVResidual">Result!$F$16</definedName>
    <definedName name="ResultPVResidualEquity">Result!$F$96</definedName>
    <definedName name="ResultRonaMonths" hidden="1">Specs!$I$24</definedName>
    <definedName name="ResultSimplePayback">Result!$F$76</definedName>
    <definedName name="ResultSimplePaybackEquity">Result!$F$122</definedName>
    <definedName name="ResultTable">Result!$C$3:$K$127</definedName>
    <definedName name="ResultTableFull">Result!$B$2:$L$128</definedName>
    <definedName name="ResultTableView">Result!$A$1:$L$128</definedName>
    <definedName name="ResultValueInUse">Result!$F$64</definedName>
    <definedName name="RonaBAT" hidden="1">Specs!$E$15</definedName>
    <definedName name="RonaCG" hidden="1">Specs!$G$19</definedName>
    <definedName name="RowList01">VarListAnalysis!$B$2:$B$15</definedName>
    <definedName name="SaveResult" hidden="1">Result!$F$4:$F$127</definedName>
    <definedName name="ShowConclusions" hidden="1">Specs!$I$9</definedName>
    <definedName name="StartupBegins">'Basic Values'!$F$16</definedName>
    <definedName name="StartupTxt">'Basic Values'!$F$7</definedName>
    <definedName name="Swe2TxtStart" hidden="1">Swe2Txt!$B$20</definedName>
    <definedName name="TaxCashFlow">Specs2!$C$2:$C$66</definedName>
    <definedName name="TaxCorrection">Calculations!$G$688:$Q$688</definedName>
    <definedName name="TaxRateM">Calculations!$G$1093:$Q$1093</definedName>
    <definedName name="TotalCashFlow">Calculations!$G$707:$Q$707</definedName>
    <definedName name="TotalInvestment">Calculations!$G$15:$Q$15</definedName>
    <definedName name="TotalInvestmentAnalysisHidden" hidden="1">Specs!$G$60</definedName>
    <definedName name="TotalPV">Result!$F$36</definedName>
    <definedName name="TurnoverAnalysis">Analysis!$B$88:$L$130</definedName>
    <definedName name="TurnoverAnalysisView">Analysis!$A$88:$L$130</definedName>
    <definedName name="UseCalculatedTax" hidden="1">Specs!$G$53</definedName>
    <definedName name="UsePerpetuity" hidden="1">Specs!$G$37</definedName>
    <definedName name="User">'Basic Values'!$E$50</definedName>
    <definedName name="ValueInUseWithTax" hidden="1">Specs!$G$54</definedName>
    <definedName name="VariableCostAnalysis">Analysis!$B$132:$L$174</definedName>
    <definedName name="VariableCostAnalysisHidden" hidden="1">Specs!$G$62</definedName>
    <definedName name="VariableCostAnalysisView">Analysis!$A$132:$L$174</definedName>
    <definedName name="VariableRate" hidden="1">Specs!$I$29</definedName>
    <definedName name="VariableRateAllowed" hidden="1">Specs!$I$33</definedName>
    <definedName name="VariableRateEquity" hidden="1">Specs!$I$31</definedName>
    <definedName name="VarIncludeRows" hidden="1">Specs!$J$12</definedName>
    <definedName name="VarList01">VarListAnalysis!$C$2:$C$15</definedName>
    <definedName name="VarRowsTxt">SpecsTxt!$J$2</definedName>
    <definedName name="Version" hidden="1">'Basic Values'!$A$17</definedName>
    <definedName name="WACC">Specs!$A$31</definedName>
    <definedName name="WACCCostOfDebt">Specs!$E$8</definedName>
    <definedName name="WACCDebt">Specs!$E$10</definedName>
    <definedName name="WACCEquity">Specs!$E$13</definedName>
    <definedName name="WACCPreTax">Specs!$A$33</definedName>
    <definedName name="WACCPreTaxMonth">Specs!$A$35</definedName>
    <definedName name="WACCReturnOnEquity">Specs!$E$12</definedName>
    <definedName name="WACCTaxRatio">Specs!$E$9</definedName>
    <definedName name="WACCTotalCapital">Specs!$E$11</definedName>
    <definedName name="WCABal">Specs!$Y$214:$Y$228</definedName>
    <definedName name="WCBal">Specs!$Y$198:$Y$212</definedName>
    <definedName name="WCChange">Specs!$Y$230:$Y$244</definedName>
    <definedName name="WCDays">Specs!$Y$182:$Y$196</definedName>
    <definedName name="WCTriggerButtons" hidden="1">Specs!$AD$2:$AD$31</definedName>
    <definedName name="WCTriggerRows" hidden="1">Specs!$AE$2:$AE$49</definedName>
    <definedName name="WorkingCapital">Calculations!$F$542:$Q$626</definedName>
    <definedName name="WorkingCapital0">Calculations!$A$540</definedName>
    <definedName name="WorkingCapitalFull">Calculations!$A$542:$R$627</definedName>
    <definedName name="Year1">'Basic Values'!$F$29</definedName>
    <definedName name="Year2">'Basic Values'!$G$29</definedName>
    <definedName name="Year3">'Basic Values'!$H$29</definedName>
    <definedName name="Year4">'Basic Values'!$I$29</definedName>
    <definedName name="Year5">'Basic Values'!$J$29</definedName>
    <definedName name="YearCol" hidden="1">Specs!$C$7</definedName>
    <definedName name="YearlyPaybackData">Specs!$C$20:$E$25</definedName>
    <definedName name="YearTxt" hidden="1">Specs!$C$8</definedName>
  </definedNames>
  <calcPr calcId="181029"/>
</workbook>
</file>

<file path=xl/calcChain.xml><?xml version="1.0" encoding="utf-8"?>
<calcChain xmlns="http://schemas.openxmlformats.org/spreadsheetml/2006/main">
  <c r="I478" i="2" l="1"/>
  <c r="J478" i="2" s="1"/>
  <c r="K478" i="2" s="1"/>
  <c r="L478" i="2" s="1"/>
  <c r="M478" i="2" s="1"/>
  <c r="N478" i="2" s="1"/>
  <c r="O478" i="2" s="1"/>
  <c r="P478" i="2" s="1"/>
  <c r="I446" i="2"/>
  <c r="J446" i="2" s="1"/>
  <c r="K446" i="2" s="1"/>
  <c r="L446" i="2" s="1"/>
  <c r="M446" i="2" s="1"/>
  <c r="N446" i="2" s="1"/>
  <c r="O446" i="2" s="1"/>
  <c r="P446" i="2" s="1"/>
  <c r="N18" i="56"/>
  <c r="M18" i="56"/>
  <c r="B18" i="56"/>
  <c r="N17" i="56"/>
  <c r="M17" i="56"/>
  <c r="B17" i="56"/>
  <c r="N16" i="56"/>
  <c r="M16" i="56"/>
  <c r="B16" i="56"/>
  <c r="N15" i="56"/>
  <c r="M15" i="56"/>
  <c r="B15" i="56"/>
  <c r="L2" i="56"/>
  <c r="F460" i="2"/>
  <c r="B10" i="56"/>
  <c r="B9" i="56"/>
  <c r="B8" i="56"/>
  <c r="B7" i="56"/>
  <c r="B6" i="56"/>
  <c r="C12" i="54"/>
  <c r="C11" i="54"/>
  <c r="C10" i="54"/>
  <c r="I7" i="54"/>
  <c r="H7" i="54"/>
  <c r="G7" i="54"/>
  <c r="F7" i="54"/>
  <c r="B6" i="54"/>
  <c r="L2" i="54"/>
  <c r="I462" i="2"/>
  <c r="J462" i="2" s="1"/>
  <c r="K462" i="2" s="1"/>
  <c r="G318" i="2"/>
  <c r="G315" i="2"/>
  <c r="H315" i="2" s="1"/>
  <c r="I315" i="2" s="1"/>
  <c r="J315" i="2" s="1"/>
  <c r="K315" i="2" s="1"/>
  <c r="L315" i="2" s="1"/>
  <c r="M315" i="2" s="1"/>
  <c r="N315" i="2" s="1"/>
  <c r="O315" i="2" s="1"/>
  <c r="P315" i="2" s="1"/>
  <c r="G311" i="2"/>
  <c r="H311" i="2" s="1"/>
  <c r="I311" i="2" s="1"/>
  <c r="J311" i="2" s="1"/>
  <c r="K311" i="2" s="1"/>
  <c r="L311" i="2" s="1"/>
  <c r="M311" i="2" s="1"/>
  <c r="N311" i="2" s="1"/>
  <c r="O311" i="2" s="1"/>
  <c r="P311" i="2" s="1"/>
  <c r="Q309" i="2" s="1"/>
  <c r="G305" i="2"/>
  <c r="H305" i="2" s="1"/>
  <c r="I305" i="2" s="1"/>
  <c r="J305" i="2" s="1"/>
  <c r="K305" i="2" s="1"/>
  <c r="L305" i="2" s="1"/>
  <c r="M305" i="2" s="1"/>
  <c r="N305" i="2" s="1"/>
  <c r="O305" i="2" s="1"/>
  <c r="P305" i="2" s="1"/>
  <c r="G301" i="2"/>
  <c r="H301" i="2" s="1"/>
  <c r="I301" i="2" s="1"/>
  <c r="J301" i="2" s="1"/>
  <c r="K301" i="2" s="1"/>
  <c r="L301" i="2" s="1"/>
  <c r="M301" i="2" s="1"/>
  <c r="N301" i="2" s="1"/>
  <c r="O301" i="2" s="1"/>
  <c r="P301" i="2" s="1"/>
  <c r="Q299" i="2" s="1"/>
  <c r="G295" i="2"/>
  <c r="H295" i="2" s="1"/>
  <c r="I295" i="2" s="1"/>
  <c r="J295" i="2" s="1"/>
  <c r="K295" i="2" s="1"/>
  <c r="L295" i="2" s="1"/>
  <c r="M295" i="2" s="1"/>
  <c r="N295" i="2" s="1"/>
  <c r="O295" i="2" s="1"/>
  <c r="P295" i="2" s="1"/>
  <c r="G291" i="2"/>
  <c r="H291" i="2" s="1"/>
  <c r="I291" i="2" s="1"/>
  <c r="J291" i="2" s="1"/>
  <c r="K291" i="2" s="1"/>
  <c r="L291" i="2" s="1"/>
  <c r="M291" i="2" s="1"/>
  <c r="N291" i="2" s="1"/>
  <c r="O291" i="2" s="1"/>
  <c r="P291" i="2" s="1"/>
  <c r="Q289" i="2" s="1"/>
  <c r="G285" i="2"/>
  <c r="H285" i="2" s="1"/>
  <c r="I285" i="2" s="1"/>
  <c r="J285" i="2" s="1"/>
  <c r="K285" i="2" s="1"/>
  <c r="L285" i="2" s="1"/>
  <c r="M285" i="2" s="1"/>
  <c r="N285" i="2" s="1"/>
  <c r="O285" i="2" s="1"/>
  <c r="P285" i="2" s="1"/>
  <c r="G281" i="2"/>
  <c r="H281" i="2" s="1"/>
  <c r="I281" i="2" s="1"/>
  <c r="J281" i="2" s="1"/>
  <c r="K281" i="2" s="1"/>
  <c r="L281" i="2" s="1"/>
  <c r="M281" i="2" s="1"/>
  <c r="N281" i="2" s="1"/>
  <c r="O281" i="2" s="1"/>
  <c r="P281" i="2" s="1"/>
  <c r="Q279" i="2" s="1"/>
  <c r="G275" i="2"/>
  <c r="H275" i="2" s="1"/>
  <c r="I275" i="2" s="1"/>
  <c r="J275" i="2" s="1"/>
  <c r="K275" i="2" s="1"/>
  <c r="L275" i="2" s="1"/>
  <c r="M275" i="2" s="1"/>
  <c r="N275" i="2" s="1"/>
  <c r="O275" i="2" s="1"/>
  <c r="P275" i="2" s="1"/>
  <c r="G271" i="2"/>
  <c r="H271" i="2" s="1"/>
  <c r="I271" i="2" s="1"/>
  <c r="J271" i="2" s="1"/>
  <c r="K271" i="2" s="1"/>
  <c r="L271" i="2" s="1"/>
  <c r="M271" i="2" s="1"/>
  <c r="N271" i="2" s="1"/>
  <c r="O271" i="2" s="1"/>
  <c r="P271" i="2" s="1"/>
  <c r="Q269" i="2" s="1"/>
  <c r="G265" i="2"/>
  <c r="H265" i="2" s="1"/>
  <c r="I265" i="2" s="1"/>
  <c r="J265" i="2" s="1"/>
  <c r="K265" i="2" s="1"/>
  <c r="L265" i="2" s="1"/>
  <c r="M265" i="2" s="1"/>
  <c r="N265" i="2" s="1"/>
  <c r="O265" i="2" s="1"/>
  <c r="P265" i="2" s="1"/>
  <c r="G261" i="2"/>
  <c r="H261" i="2" s="1"/>
  <c r="I261" i="2" s="1"/>
  <c r="J261" i="2" s="1"/>
  <c r="K261" i="2" s="1"/>
  <c r="L261" i="2" s="1"/>
  <c r="M261" i="2" s="1"/>
  <c r="N261" i="2" s="1"/>
  <c r="O261" i="2" s="1"/>
  <c r="P261" i="2" s="1"/>
  <c r="Q259" i="2" s="1"/>
  <c r="G255" i="2"/>
  <c r="H255" i="2" s="1"/>
  <c r="I255" i="2" s="1"/>
  <c r="J255" i="2" s="1"/>
  <c r="K255" i="2" s="1"/>
  <c r="L255" i="2" s="1"/>
  <c r="M255" i="2" s="1"/>
  <c r="N255" i="2" s="1"/>
  <c r="O255" i="2" s="1"/>
  <c r="P255" i="2" s="1"/>
  <c r="G251" i="2"/>
  <c r="H251" i="2" s="1"/>
  <c r="I251" i="2" s="1"/>
  <c r="J251" i="2" s="1"/>
  <c r="K251" i="2" s="1"/>
  <c r="L251" i="2" s="1"/>
  <c r="M251" i="2" s="1"/>
  <c r="N251" i="2" s="1"/>
  <c r="O251" i="2" s="1"/>
  <c r="P251" i="2" s="1"/>
  <c r="Q249" i="2" s="1"/>
  <c r="G245" i="2"/>
  <c r="H245" i="2" s="1"/>
  <c r="I245" i="2" s="1"/>
  <c r="J245" i="2" s="1"/>
  <c r="K245" i="2" s="1"/>
  <c r="L245" i="2" s="1"/>
  <c r="M245" i="2" s="1"/>
  <c r="N245" i="2" s="1"/>
  <c r="O245" i="2" s="1"/>
  <c r="P245" i="2" s="1"/>
  <c r="G241" i="2"/>
  <c r="H241" i="2" s="1"/>
  <c r="I241" i="2" s="1"/>
  <c r="J241" i="2" s="1"/>
  <c r="K241" i="2" s="1"/>
  <c r="L241" i="2" s="1"/>
  <c r="M241" i="2" s="1"/>
  <c r="N241" i="2" s="1"/>
  <c r="O241" i="2" s="1"/>
  <c r="P241" i="2" s="1"/>
  <c r="Q239" i="2" s="1"/>
  <c r="G235" i="2"/>
  <c r="H235" i="2" s="1"/>
  <c r="I235" i="2" s="1"/>
  <c r="J235" i="2" s="1"/>
  <c r="K235" i="2" s="1"/>
  <c r="L235" i="2" s="1"/>
  <c r="M235" i="2" s="1"/>
  <c r="N235" i="2" s="1"/>
  <c r="O235" i="2" s="1"/>
  <c r="P235" i="2" s="1"/>
  <c r="G231" i="2"/>
  <c r="H231" i="2" s="1"/>
  <c r="I231" i="2" s="1"/>
  <c r="J231" i="2" s="1"/>
  <c r="K231" i="2" s="1"/>
  <c r="L231" i="2" s="1"/>
  <c r="M231" i="2" s="1"/>
  <c r="N231" i="2" s="1"/>
  <c r="O231" i="2" s="1"/>
  <c r="P231" i="2" s="1"/>
  <c r="Q229" i="2" s="1"/>
  <c r="G225" i="2"/>
  <c r="H225" i="2" s="1"/>
  <c r="I225" i="2" s="1"/>
  <c r="J225" i="2" s="1"/>
  <c r="K225" i="2" s="1"/>
  <c r="L225" i="2" s="1"/>
  <c r="M225" i="2" s="1"/>
  <c r="N225" i="2" s="1"/>
  <c r="O225" i="2" s="1"/>
  <c r="P225" i="2" s="1"/>
  <c r="G221" i="2"/>
  <c r="H221" i="2" s="1"/>
  <c r="I221" i="2" s="1"/>
  <c r="J221" i="2" s="1"/>
  <c r="K221" i="2" s="1"/>
  <c r="L221" i="2" s="1"/>
  <c r="M221" i="2" s="1"/>
  <c r="N221" i="2" s="1"/>
  <c r="O221" i="2" s="1"/>
  <c r="P221" i="2" s="1"/>
  <c r="Q219" i="2" s="1"/>
  <c r="G215" i="2"/>
  <c r="H215" i="2" s="1"/>
  <c r="I215" i="2" s="1"/>
  <c r="J215" i="2" s="1"/>
  <c r="K215" i="2" s="1"/>
  <c r="L215" i="2" s="1"/>
  <c r="M215" i="2" s="1"/>
  <c r="N215" i="2" s="1"/>
  <c r="O215" i="2" s="1"/>
  <c r="P215" i="2" s="1"/>
  <c r="G211" i="2"/>
  <c r="H211" i="2" s="1"/>
  <c r="I211" i="2" s="1"/>
  <c r="J211" i="2" s="1"/>
  <c r="K211" i="2" s="1"/>
  <c r="L211" i="2" s="1"/>
  <c r="M211" i="2" s="1"/>
  <c r="N211" i="2" s="1"/>
  <c r="O211" i="2" s="1"/>
  <c r="P211" i="2" s="1"/>
  <c r="Q209" i="2" s="1"/>
  <c r="G205" i="2"/>
  <c r="H205" i="2" s="1"/>
  <c r="I205" i="2" s="1"/>
  <c r="J205" i="2" s="1"/>
  <c r="K205" i="2" s="1"/>
  <c r="L205" i="2" s="1"/>
  <c r="M205" i="2" s="1"/>
  <c r="N205" i="2" s="1"/>
  <c r="O205" i="2" s="1"/>
  <c r="P205" i="2" s="1"/>
  <c r="G201" i="2"/>
  <c r="H201" i="2" s="1"/>
  <c r="I201" i="2" s="1"/>
  <c r="J201" i="2" s="1"/>
  <c r="K201" i="2" s="1"/>
  <c r="L201" i="2" s="1"/>
  <c r="M201" i="2" s="1"/>
  <c r="N201" i="2" s="1"/>
  <c r="O201" i="2" s="1"/>
  <c r="P201" i="2" s="1"/>
  <c r="Q199" i="2" s="1"/>
  <c r="G195" i="2"/>
  <c r="H195" i="2" s="1"/>
  <c r="I195" i="2" s="1"/>
  <c r="J195" i="2" s="1"/>
  <c r="K195" i="2" s="1"/>
  <c r="L195" i="2" s="1"/>
  <c r="M195" i="2" s="1"/>
  <c r="N195" i="2" s="1"/>
  <c r="O195" i="2" s="1"/>
  <c r="P195" i="2" s="1"/>
  <c r="G191" i="2"/>
  <c r="H191" i="2" s="1"/>
  <c r="I191" i="2" s="1"/>
  <c r="J191" i="2" s="1"/>
  <c r="K191" i="2" s="1"/>
  <c r="L191" i="2" s="1"/>
  <c r="M191" i="2" s="1"/>
  <c r="N191" i="2" s="1"/>
  <c r="O191" i="2" s="1"/>
  <c r="P191" i="2" s="1"/>
  <c r="Q189" i="2" s="1"/>
  <c r="G185" i="2"/>
  <c r="H185" i="2" s="1"/>
  <c r="I185" i="2" s="1"/>
  <c r="J185" i="2" s="1"/>
  <c r="K185" i="2" s="1"/>
  <c r="L185" i="2" s="1"/>
  <c r="M185" i="2" s="1"/>
  <c r="N185" i="2" s="1"/>
  <c r="O185" i="2" s="1"/>
  <c r="P185" i="2" s="1"/>
  <c r="G181" i="2"/>
  <c r="H181" i="2" s="1"/>
  <c r="I181" i="2" s="1"/>
  <c r="J181" i="2" s="1"/>
  <c r="K181" i="2" s="1"/>
  <c r="L181" i="2" s="1"/>
  <c r="M181" i="2" s="1"/>
  <c r="N181" i="2" s="1"/>
  <c r="O181" i="2" s="1"/>
  <c r="P181" i="2" s="1"/>
  <c r="Q179" i="2" s="1"/>
  <c r="G175" i="2"/>
  <c r="H175" i="2" s="1"/>
  <c r="I175" i="2" s="1"/>
  <c r="J175" i="2" s="1"/>
  <c r="K175" i="2" s="1"/>
  <c r="L175" i="2" s="1"/>
  <c r="M175" i="2" s="1"/>
  <c r="N175" i="2" s="1"/>
  <c r="O175" i="2" s="1"/>
  <c r="P175" i="2" s="1"/>
  <c r="G171" i="2"/>
  <c r="H171" i="2" s="1"/>
  <c r="I171" i="2" s="1"/>
  <c r="J171" i="2" s="1"/>
  <c r="K171" i="2" s="1"/>
  <c r="L171" i="2" s="1"/>
  <c r="M171" i="2" s="1"/>
  <c r="N171" i="2" s="1"/>
  <c r="O171" i="2" s="1"/>
  <c r="P171" i="2" s="1"/>
  <c r="Q169" i="2" s="1"/>
  <c r="G165" i="2"/>
  <c r="H165" i="2" s="1"/>
  <c r="I165" i="2" s="1"/>
  <c r="J165" i="2" s="1"/>
  <c r="K165" i="2" s="1"/>
  <c r="L165" i="2" s="1"/>
  <c r="M165" i="2" s="1"/>
  <c r="N165" i="2" s="1"/>
  <c r="O165" i="2" s="1"/>
  <c r="P165" i="2" s="1"/>
  <c r="G161" i="2"/>
  <c r="H161" i="2" s="1"/>
  <c r="I161" i="2" s="1"/>
  <c r="J161" i="2" s="1"/>
  <c r="K161" i="2" s="1"/>
  <c r="L161" i="2" s="1"/>
  <c r="M161" i="2" s="1"/>
  <c r="N161" i="2" s="1"/>
  <c r="O161" i="2" s="1"/>
  <c r="P161" i="2" s="1"/>
  <c r="Q159" i="2" s="1"/>
  <c r="G155" i="2"/>
  <c r="H155" i="2" s="1"/>
  <c r="I155" i="2" s="1"/>
  <c r="J155" i="2" s="1"/>
  <c r="K155" i="2" s="1"/>
  <c r="L155" i="2" s="1"/>
  <c r="M155" i="2" s="1"/>
  <c r="N155" i="2" s="1"/>
  <c r="O155" i="2" s="1"/>
  <c r="P155" i="2" s="1"/>
  <c r="G151" i="2"/>
  <c r="H151" i="2" s="1"/>
  <c r="I151" i="2" s="1"/>
  <c r="J151" i="2" s="1"/>
  <c r="K151" i="2" s="1"/>
  <c r="L151" i="2" s="1"/>
  <c r="M151" i="2" s="1"/>
  <c r="N151" i="2" s="1"/>
  <c r="O151" i="2" s="1"/>
  <c r="P151" i="2" s="1"/>
  <c r="Q149" i="2" s="1"/>
  <c r="G145" i="2"/>
  <c r="H145" i="2" s="1"/>
  <c r="I145" i="2" s="1"/>
  <c r="J145" i="2" s="1"/>
  <c r="K145" i="2" s="1"/>
  <c r="L145" i="2" s="1"/>
  <c r="M145" i="2" s="1"/>
  <c r="N145" i="2" s="1"/>
  <c r="O145" i="2" s="1"/>
  <c r="P145" i="2" s="1"/>
  <c r="G141" i="2"/>
  <c r="H141" i="2" s="1"/>
  <c r="I141" i="2" s="1"/>
  <c r="J141" i="2" s="1"/>
  <c r="K141" i="2" s="1"/>
  <c r="L141" i="2" s="1"/>
  <c r="M141" i="2" s="1"/>
  <c r="N141" i="2" s="1"/>
  <c r="O141" i="2" s="1"/>
  <c r="P141" i="2" s="1"/>
  <c r="Q139" i="2" s="1"/>
  <c r="G135" i="2"/>
  <c r="H135" i="2" s="1"/>
  <c r="I135" i="2" s="1"/>
  <c r="J135" i="2" s="1"/>
  <c r="K135" i="2" s="1"/>
  <c r="L135" i="2" s="1"/>
  <c r="M135" i="2" s="1"/>
  <c r="N135" i="2" s="1"/>
  <c r="O135" i="2" s="1"/>
  <c r="P135" i="2" s="1"/>
  <c r="G131" i="2"/>
  <c r="H131" i="2" s="1"/>
  <c r="I131" i="2" s="1"/>
  <c r="J131" i="2" s="1"/>
  <c r="K131" i="2" s="1"/>
  <c r="L131" i="2" s="1"/>
  <c r="M131" i="2" s="1"/>
  <c r="N131" i="2" s="1"/>
  <c r="O131" i="2" s="1"/>
  <c r="P131" i="2" s="1"/>
  <c r="Q129" i="2" s="1"/>
  <c r="G125" i="2"/>
  <c r="H125" i="2" s="1"/>
  <c r="I125" i="2" s="1"/>
  <c r="J125" i="2" s="1"/>
  <c r="K125" i="2" s="1"/>
  <c r="L125" i="2" s="1"/>
  <c r="M125" i="2" s="1"/>
  <c r="N125" i="2" s="1"/>
  <c r="O125" i="2" s="1"/>
  <c r="P125" i="2" s="1"/>
  <c r="G121" i="2"/>
  <c r="H121" i="2" s="1"/>
  <c r="I121" i="2" s="1"/>
  <c r="J121" i="2" s="1"/>
  <c r="K121" i="2" s="1"/>
  <c r="L121" i="2" s="1"/>
  <c r="M121" i="2" s="1"/>
  <c r="N121" i="2" s="1"/>
  <c r="O121" i="2" s="1"/>
  <c r="P121" i="2" s="1"/>
  <c r="Q119" i="2" s="1"/>
  <c r="G115" i="2"/>
  <c r="H115" i="2" s="1"/>
  <c r="I115" i="2" s="1"/>
  <c r="J115" i="2" s="1"/>
  <c r="K115" i="2" s="1"/>
  <c r="L115" i="2" s="1"/>
  <c r="M115" i="2" s="1"/>
  <c r="N115" i="2" s="1"/>
  <c r="O115" i="2" s="1"/>
  <c r="P115" i="2" s="1"/>
  <c r="G111" i="2"/>
  <c r="H111" i="2" s="1"/>
  <c r="I111" i="2" s="1"/>
  <c r="J111" i="2" s="1"/>
  <c r="K111" i="2" s="1"/>
  <c r="L111" i="2" s="1"/>
  <c r="M111" i="2" s="1"/>
  <c r="N111" i="2" s="1"/>
  <c r="O111" i="2" s="1"/>
  <c r="P111" i="2" s="1"/>
  <c r="Q109" i="2" s="1"/>
  <c r="G105" i="2"/>
  <c r="H105" i="2" s="1"/>
  <c r="I105" i="2" s="1"/>
  <c r="J105" i="2" s="1"/>
  <c r="K105" i="2" s="1"/>
  <c r="L105" i="2" s="1"/>
  <c r="M105" i="2" s="1"/>
  <c r="N105" i="2" s="1"/>
  <c r="O105" i="2" s="1"/>
  <c r="P105" i="2" s="1"/>
  <c r="G101" i="2"/>
  <c r="H101" i="2" s="1"/>
  <c r="I101" i="2" s="1"/>
  <c r="J101" i="2" s="1"/>
  <c r="K101" i="2" s="1"/>
  <c r="L101" i="2" s="1"/>
  <c r="M101" i="2" s="1"/>
  <c r="N101" i="2" s="1"/>
  <c r="O101" i="2" s="1"/>
  <c r="P101" i="2" s="1"/>
  <c r="Q99" i="2" s="1"/>
  <c r="G95" i="2"/>
  <c r="H95" i="2" s="1"/>
  <c r="I95" i="2" s="1"/>
  <c r="J95" i="2" s="1"/>
  <c r="K95" i="2" s="1"/>
  <c r="L95" i="2" s="1"/>
  <c r="M95" i="2" s="1"/>
  <c r="N95" i="2" s="1"/>
  <c r="O95" i="2" s="1"/>
  <c r="P95" i="2" s="1"/>
  <c r="G91" i="2"/>
  <c r="H91" i="2" s="1"/>
  <c r="I91" i="2" s="1"/>
  <c r="J91" i="2" s="1"/>
  <c r="K91" i="2" s="1"/>
  <c r="L91" i="2" s="1"/>
  <c r="M91" i="2" s="1"/>
  <c r="N91" i="2" s="1"/>
  <c r="O91" i="2" s="1"/>
  <c r="P91" i="2" s="1"/>
  <c r="Q89" i="2" s="1"/>
  <c r="G85" i="2"/>
  <c r="H85" i="2" s="1"/>
  <c r="I85" i="2" s="1"/>
  <c r="J85" i="2" s="1"/>
  <c r="K85" i="2" s="1"/>
  <c r="L85" i="2" s="1"/>
  <c r="M85" i="2" s="1"/>
  <c r="N85" i="2" s="1"/>
  <c r="O85" i="2" s="1"/>
  <c r="P85" i="2" s="1"/>
  <c r="G81" i="2"/>
  <c r="H81" i="2" s="1"/>
  <c r="I81" i="2" s="1"/>
  <c r="J81" i="2" s="1"/>
  <c r="K81" i="2" s="1"/>
  <c r="L81" i="2" s="1"/>
  <c r="M81" i="2" s="1"/>
  <c r="N81" i="2" s="1"/>
  <c r="O81" i="2" s="1"/>
  <c r="P81" i="2" s="1"/>
  <c r="Q79" i="2" s="1"/>
  <c r="G75" i="2"/>
  <c r="H75" i="2" s="1"/>
  <c r="I75" i="2" s="1"/>
  <c r="J75" i="2" s="1"/>
  <c r="K75" i="2" s="1"/>
  <c r="L75" i="2" s="1"/>
  <c r="M75" i="2" s="1"/>
  <c r="N75" i="2" s="1"/>
  <c r="O75" i="2" s="1"/>
  <c r="P75" i="2" s="1"/>
  <c r="G71" i="2"/>
  <c r="H71" i="2" s="1"/>
  <c r="I71" i="2" s="1"/>
  <c r="J71" i="2" s="1"/>
  <c r="K71" i="2" s="1"/>
  <c r="L71" i="2" s="1"/>
  <c r="M71" i="2" s="1"/>
  <c r="N71" i="2" s="1"/>
  <c r="O71" i="2" s="1"/>
  <c r="P71" i="2" s="1"/>
  <c r="Q69" i="2" s="1"/>
  <c r="G65" i="2"/>
  <c r="H65" i="2" s="1"/>
  <c r="I65" i="2" s="1"/>
  <c r="J65" i="2" s="1"/>
  <c r="K65" i="2" s="1"/>
  <c r="L65" i="2" s="1"/>
  <c r="M65" i="2" s="1"/>
  <c r="N65" i="2" s="1"/>
  <c r="O65" i="2" s="1"/>
  <c r="P65" i="2" s="1"/>
  <c r="G61" i="2"/>
  <c r="H61" i="2" s="1"/>
  <c r="I61" i="2" s="1"/>
  <c r="J61" i="2" s="1"/>
  <c r="K61" i="2" s="1"/>
  <c r="L61" i="2" s="1"/>
  <c r="M61" i="2" s="1"/>
  <c r="N61" i="2" s="1"/>
  <c r="O61" i="2" s="1"/>
  <c r="P61" i="2" s="1"/>
  <c r="Q59" i="2" s="1"/>
  <c r="G55" i="2"/>
  <c r="H55" i="2" s="1"/>
  <c r="I55" i="2" s="1"/>
  <c r="J55" i="2" s="1"/>
  <c r="K55" i="2" s="1"/>
  <c r="L55" i="2" s="1"/>
  <c r="M55" i="2" s="1"/>
  <c r="N55" i="2" s="1"/>
  <c r="O55" i="2" s="1"/>
  <c r="P55" i="2" s="1"/>
  <c r="G51" i="2"/>
  <c r="H51" i="2" s="1"/>
  <c r="I51" i="2" s="1"/>
  <c r="J51" i="2" s="1"/>
  <c r="K51" i="2" s="1"/>
  <c r="L51" i="2" s="1"/>
  <c r="M51" i="2" s="1"/>
  <c r="N51" i="2" s="1"/>
  <c r="O51" i="2" s="1"/>
  <c r="P51" i="2" s="1"/>
  <c r="Q49" i="2" s="1"/>
  <c r="G45" i="2"/>
  <c r="H45" i="2" s="1"/>
  <c r="I45" i="2" s="1"/>
  <c r="J45" i="2" s="1"/>
  <c r="K45" i="2" s="1"/>
  <c r="L45" i="2" s="1"/>
  <c r="M45" i="2" s="1"/>
  <c r="N45" i="2" s="1"/>
  <c r="O45" i="2" s="1"/>
  <c r="P45" i="2" s="1"/>
  <c r="G41" i="2"/>
  <c r="H41" i="2" s="1"/>
  <c r="I41" i="2" s="1"/>
  <c r="J41" i="2" s="1"/>
  <c r="K41" i="2" s="1"/>
  <c r="L41" i="2" s="1"/>
  <c r="P40" i="2"/>
  <c r="O40" i="2"/>
  <c r="N40" i="2"/>
  <c r="M40" i="2"/>
  <c r="Q36" i="2"/>
  <c r="G35" i="2"/>
  <c r="H35" i="2" s="1"/>
  <c r="I35" i="2" s="1"/>
  <c r="J35" i="2" s="1"/>
  <c r="K35" i="2" s="1"/>
  <c r="L35" i="2" s="1"/>
  <c r="M35" i="2" s="1"/>
  <c r="N35" i="2" s="1"/>
  <c r="O35" i="2" s="1"/>
  <c r="P35" i="2" s="1"/>
  <c r="Q32" i="2"/>
  <c r="G31" i="2"/>
  <c r="P30" i="2"/>
  <c r="O30" i="2"/>
  <c r="N30" i="2"/>
  <c r="M30" i="2"/>
  <c r="L30" i="2"/>
  <c r="K30" i="2"/>
  <c r="J30" i="2"/>
  <c r="I30" i="2"/>
  <c r="H30" i="2"/>
  <c r="Q26" i="2"/>
  <c r="G25" i="2"/>
  <c r="H25" i="2" s="1"/>
  <c r="I25" i="2" s="1"/>
  <c r="J25" i="2" s="1"/>
  <c r="K25" i="2" s="1"/>
  <c r="L25" i="2" s="1"/>
  <c r="M25" i="2" s="1"/>
  <c r="N25" i="2" s="1"/>
  <c r="O25" i="2" s="1"/>
  <c r="P25" i="2" s="1"/>
  <c r="Q22" i="2"/>
  <c r="G21" i="2"/>
  <c r="H21" i="2" s="1"/>
  <c r="P20" i="2"/>
  <c r="O20" i="2"/>
  <c r="N20" i="2"/>
  <c r="M20" i="2"/>
  <c r="L20" i="2"/>
  <c r="K20" i="2"/>
  <c r="J20" i="2"/>
  <c r="I20" i="2"/>
  <c r="H5" i="4"/>
  <c r="G5" i="4" s="1"/>
  <c r="C18" i="56"/>
  <c r="C17" i="56"/>
  <c r="C16" i="56"/>
  <c r="C15" i="56"/>
  <c r="C10" i="56"/>
  <c r="C9" i="56"/>
  <c r="C8" i="56"/>
  <c r="C7" i="56"/>
  <c r="E10" i="54"/>
  <c r="E11" i="54"/>
  <c r="L18" i="56" l="1"/>
  <c r="L17" i="56"/>
  <c r="L16" i="56"/>
  <c r="L15" i="56"/>
  <c r="I21" i="2"/>
  <c r="J21" i="2" s="1"/>
  <c r="K21" i="2" s="1"/>
  <c r="L21" i="2" s="1"/>
  <c r="M21" i="2" s="1"/>
  <c r="N21" i="2" s="1"/>
  <c r="O21" i="2" s="1"/>
  <c r="P21" i="2" s="1"/>
  <c r="Q23" i="2" s="1"/>
  <c r="Q21" i="2" s="1"/>
  <c r="L462" i="2"/>
  <c r="H31" i="2"/>
  <c r="I31" i="2" s="1"/>
  <c r="J31" i="2" s="1"/>
  <c r="K31" i="2" s="1"/>
  <c r="L31" i="2" s="1"/>
  <c r="M31" i="2" s="1"/>
  <c r="N31" i="2" s="1"/>
  <c r="O31" i="2" s="1"/>
  <c r="P31" i="2" s="1"/>
  <c r="Q33" i="2" s="1"/>
  <c r="Q31" i="2" s="1"/>
  <c r="M41" i="2"/>
  <c r="N41" i="2" s="1"/>
  <c r="O41" i="2" s="1"/>
  <c r="P41" i="2" s="1"/>
  <c r="Q39" i="2" s="1"/>
  <c r="Q37" i="2"/>
  <c r="Q35" i="2" s="1"/>
  <c r="Q27" i="2"/>
  <c r="Q25" i="2" s="1"/>
  <c r="Q113" i="2"/>
  <c r="Q111" i="2" s="1"/>
  <c r="Q112" i="2"/>
  <c r="Q117" i="2"/>
  <c r="Q115" i="2" s="1"/>
  <c r="Q116" i="2"/>
  <c r="I5" i="4"/>
  <c r="J5" i="4"/>
  <c r="F5" i="4"/>
  <c r="G1" i="54"/>
  <c r="H1" i="54"/>
  <c r="I1" i="54"/>
  <c r="J1" i="54"/>
  <c r="K1" i="54"/>
  <c r="L1" i="54"/>
  <c r="M1" i="54"/>
  <c r="N1" i="54"/>
  <c r="O1" i="54"/>
  <c r="P1" i="54"/>
  <c r="G617" i="2"/>
  <c r="H617" i="2"/>
  <c r="I617" i="2"/>
  <c r="J617" i="2"/>
  <c r="K617" i="2"/>
  <c r="L617" i="2"/>
  <c r="M617" i="2"/>
  <c r="N617" i="2"/>
  <c r="O617" i="2"/>
  <c r="P617" i="2"/>
  <c r="G613" i="2"/>
  <c r="H613" i="2"/>
  <c r="I613" i="2"/>
  <c r="J613" i="2"/>
  <c r="K613" i="2"/>
  <c r="L613" i="2"/>
  <c r="M613" i="2"/>
  <c r="N613" i="2"/>
  <c r="O613" i="2"/>
  <c r="P613" i="2"/>
  <c r="G609" i="2"/>
  <c r="H609" i="2"/>
  <c r="I609" i="2"/>
  <c r="J609" i="2"/>
  <c r="K609" i="2"/>
  <c r="L609" i="2"/>
  <c r="M609" i="2"/>
  <c r="N609" i="2"/>
  <c r="O609" i="2"/>
  <c r="P609" i="2"/>
  <c r="G605" i="2"/>
  <c r="H605" i="2"/>
  <c r="I605" i="2"/>
  <c r="J605" i="2"/>
  <c r="K605" i="2"/>
  <c r="L605" i="2"/>
  <c r="M605" i="2"/>
  <c r="N605" i="2"/>
  <c r="O605" i="2"/>
  <c r="P605" i="2"/>
  <c r="G601" i="2"/>
  <c r="G595" i="2"/>
  <c r="H595" i="2"/>
  <c r="I595" i="2"/>
  <c r="J595" i="2"/>
  <c r="K595" i="2"/>
  <c r="L595" i="2"/>
  <c r="M595" i="2"/>
  <c r="N595" i="2"/>
  <c r="O595" i="2"/>
  <c r="P595" i="2"/>
  <c r="G591" i="2"/>
  <c r="H591" i="2"/>
  <c r="I591" i="2"/>
  <c r="J591" i="2"/>
  <c r="K591" i="2"/>
  <c r="L591" i="2"/>
  <c r="M591" i="2"/>
  <c r="N591" i="2"/>
  <c r="O591" i="2"/>
  <c r="P591" i="2"/>
  <c r="G587" i="2"/>
  <c r="H587" i="2"/>
  <c r="I587" i="2"/>
  <c r="J587" i="2"/>
  <c r="K587" i="2"/>
  <c r="L587" i="2"/>
  <c r="M587" i="2"/>
  <c r="N587" i="2"/>
  <c r="O587" i="2"/>
  <c r="P587" i="2"/>
  <c r="G583" i="2"/>
  <c r="H583" i="2"/>
  <c r="I583" i="2"/>
  <c r="J583" i="2"/>
  <c r="K583" i="2"/>
  <c r="L583" i="2"/>
  <c r="M583" i="2"/>
  <c r="N583" i="2"/>
  <c r="O583" i="2"/>
  <c r="P583" i="2"/>
  <c r="G579" i="2"/>
  <c r="G565" i="2"/>
  <c r="H565" i="2"/>
  <c r="I565" i="2"/>
  <c r="J565" i="2"/>
  <c r="K565" i="2"/>
  <c r="L565" i="2"/>
  <c r="M565" i="2"/>
  <c r="N565" i="2"/>
  <c r="O565" i="2"/>
  <c r="P565" i="2"/>
  <c r="G561" i="2"/>
  <c r="H561" i="2"/>
  <c r="I561" i="2"/>
  <c r="J561" i="2"/>
  <c r="K561" i="2"/>
  <c r="L561" i="2"/>
  <c r="M561" i="2"/>
  <c r="N561" i="2"/>
  <c r="O561" i="2"/>
  <c r="P561" i="2"/>
  <c r="G557" i="2"/>
  <c r="H557" i="2"/>
  <c r="I557" i="2"/>
  <c r="J557" i="2"/>
  <c r="K557" i="2"/>
  <c r="L557" i="2"/>
  <c r="M557" i="2"/>
  <c r="N557" i="2"/>
  <c r="O557" i="2"/>
  <c r="P557" i="2"/>
  <c r="G553" i="2"/>
  <c r="H553" i="2"/>
  <c r="I553" i="2"/>
  <c r="J553" i="2"/>
  <c r="K553" i="2"/>
  <c r="L553" i="2"/>
  <c r="M553" i="2"/>
  <c r="N553" i="2"/>
  <c r="O553" i="2"/>
  <c r="P553" i="2"/>
  <c r="G549" i="2"/>
  <c r="F7" i="8"/>
  <c r="F8" i="8"/>
  <c r="H8" i="8" s="1"/>
  <c r="F9" i="8"/>
  <c r="F10" i="8"/>
  <c r="F11" i="8"/>
  <c r="F13" i="8"/>
  <c r="F14" i="8"/>
  <c r="F15" i="8"/>
  <c r="F16" i="8"/>
  <c r="H16" i="8" s="1"/>
  <c r="F17" i="8"/>
  <c r="F19" i="8"/>
  <c r="F20" i="8"/>
  <c r="H20" i="8" s="1"/>
  <c r="F21" i="8"/>
  <c r="F22" i="8"/>
  <c r="F23" i="8"/>
  <c r="F25" i="8"/>
  <c r="F26" i="8"/>
  <c r="F27" i="8"/>
  <c r="F28" i="8"/>
  <c r="H28" i="8" s="1"/>
  <c r="F29" i="8"/>
  <c r="F31" i="8"/>
  <c r="F32" i="8"/>
  <c r="H32" i="8" s="1"/>
  <c r="F33" i="8"/>
  <c r="F34" i="8"/>
  <c r="F35" i="8"/>
  <c r="F37" i="8"/>
  <c r="F38" i="8"/>
  <c r="F39" i="8"/>
  <c r="F40" i="8"/>
  <c r="H40" i="8" s="1"/>
  <c r="F41" i="8"/>
  <c r="F43" i="8"/>
  <c r="F44" i="8"/>
  <c r="H44" i="8" s="1"/>
  <c r="F45" i="8"/>
  <c r="F46" i="8"/>
  <c r="F47" i="8"/>
  <c r="F49" i="8"/>
  <c r="F50" i="8"/>
  <c r="F51" i="8"/>
  <c r="F52" i="8"/>
  <c r="H52" i="8" s="1"/>
  <c r="F53" i="8"/>
  <c r="F55" i="8"/>
  <c r="F56" i="8"/>
  <c r="H56" i="8" s="1"/>
  <c r="F57" i="8"/>
  <c r="F58" i="8"/>
  <c r="F59" i="8"/>
  <c r="F61" i="8"/>
  <c r="F62" i="8"/>
  <c r="F63" i="8"/>
  <c r="F64" i="8"/>
  <c r="H64" i="8" s="1"/>
  <c r="F65" i="8"/>
  <c r="E7" i="8"/>
  <c r="E8" i="8"/>
  <c r="E9" i="8"/>
  <c r="E10" i="8"/>
  <c r="E11" i="8"/>
  <c r="E13" i="8"/>
  <c r="E14" i="8"/>
  <c r="E15" i="8"/>
  <c r="E16" i="8"/>
  <c r="E17" i="8"/>
  <c r="E19" i="8"/>
  <c r="E20" i="8"/>
  <c r="E21" i="8"/>
  <c r="E22" i="8"/>
  <c r="E23" i="8"/>
  <c r="E25" i="8"/>
  <c r="E26" i="8"/>
  <c r="E27" i="8"/>
  <c r="E28" i="8"/>
  <c r="E29" i="8"/>
  <c r="E31" i="8"/>
  <c r="E32" i="8"/>
  <c r="E33" i="8"/>
  <c r="E34" i="8"/>
  <c r="E35" i="8"/>
  <c r="E37" i="8"/>
  <c r="E38" i="8"/>
  <c r="E39" i="8"/>
  <c r="E40" i="8"/>
  <c r="E41" i="8"/>
  <c r="E43" i="8"/>
  <c r="E44" i="8"/>
  <c r="E45" i="8"/>
  <c r="E46" i="8"/>
  <c r="E47" i="8"/>
  <c r="E49" i="8"/>
  <c r="E50" i="8"/>
  <c r="E51" i="8"/>
  <c r="E52" i="8"/>
  <c r="E53" i="8"/>
  <c r="E55" i="8"/>
  <c r="E56" i="8"/>
  <c r="E57" i="8"/>
  <c r="E58" i="8"/>
  <c r="E59" i="8"/>
  <c r="E61" i="8"/>
  <c r="E62" i="8"/>
  <c r="E63" i="8"/>
  <c r="E64" i="8"/>
  <c r="E65" i="8"/>
  <c r="H7" i="8"/>
  <c r="H9" i="8"/>
  <c r="H10" i="8"/>
  <c r="H11" i="8"/>
  <c r="H13" i="8"/>
  <c r="H14" i="8"/>
  <c r="H15" i="8"/>
  <c r="H17" i="8"/>
  <c r="H19" i="8"/>
  <c r="H21" i="8"/>
  <c r="H22" i="8"/>
  <c r="H23" i="8"/>
  <c r="H25" i="8"/>
  <c r="H26" i="8"/>
  <c r="H27" i="8"/>
  <c r="H29" i="8"/>
  <c r="H31" i="8"/>
  <c r="H33" i="8"/>
  <c r="H34" i="8"/>
  <c r="H35" i="8"/>
  <c r="H37" i="8"/>
  <c r="H38" i="8"/>
  <c r="H39" i="8"/>
  <c r="H41" i="8"/>
  <c r="H43" i="8"/>
  <c r="H45" i="8"/>
  <c r="H46" i="8"/>
  <c r="H47" i="8"/>
  <c r="H49" i="8"/>
  <c r="H50" i="8"/>
  <c r="H51" i="8"/>
  <c r="H53" i="8"/>
  <c r="H55" i="8"/>
  <c r="H57" i="8"/>
  <c r="H58" i="8"/>
  <c r="H59" i="8"/>
  <c r="H61" i="8"/>
  <c r="H62" i="8"/>
  <c r="H63" i="8"/>
  <c r="H65" i="8"/>
  <c r="G60" i="8"/>
  <c r="D60" i="8"/>
  <c r="C60" i="8"/>
  <c r="B60" i="8"/>
  <c r="G48" i="8"/>
  <c r="D48" i="8"/>
  <c r="C48" i="8"/>
  <c r="B48" i="8"/>
  <c r="G36" i="8"/>
  <c r="D36" i="8"/>
  <c r="F36" i="8" s="1"/>
  <c r="C36" i="8"/>
  <c r="B36" i="8"/>
  <c r="G24" i="8"/>
  <c r="D24" i="8"/>
  <c r="C24" i="8"/>
  <c r="B24" i="8"/>
  <c r="G12" i="8"/>
  <c r="D12" i="8"/>
  <c r="C12" i="8"/>
  <c r="B12" i="8"/>
  <c r="G2" i="8"/>
  <c r="H320" i="2"/>
  <c r="I320" i="2"/>
  <c r="Q1" i="2"/>
  <c r="R19" i="2"/>
  <c r="R20" i="2"/>
  <c r="R21" i="2"/>
  <c r="R24" i="2"/>
  <c r="R25" i="2"/>
  <c r="R29" i="2"/>
  <c r="R30" i="2"/>
  <c r="R31" i="2"/>
  <c r="R34" i="2"/>
  <c r="R35" i="2"/>
  <c r="R39" i="2"/>
  <c r="R40" i="2"/>
  <c r="R41" i="2"/>
  <c r="R44" i="2"/>
  <c r="R45" i="2"/>
  <c r="R49" i="2"/>
  <c r="R50" i="2"/>
  <c r="R51" i="2"/>
  <c r="R54" i="2"/>
  <c r="R55" i="2"/>
  <c r="R59" i="2"/>
  <c r="R60" i="2"/>
  <c r="R61" i="2"/>
  <c r="R64" i="2"/>
  <c r="R65" i="2"/>
  <c r="R69" i="2"/>
  <c r="R70" i="2"/>
  <c r="R71" i="2"/>
  <c r="R74" i="2"/>
  <c r="R75" i="2"/>
  <c r="R79" i="2"/>
  <c r="R80" i="2"/>
  <c r="R81" i="2"/>
  <c r="R84" i="2"/>
  <c r="R85" i="2"/>
  <c r="R89" i="2"/>
  <c r="R90" i="2"/>
  <c r="R91" i="2"/>
  <c r="R94" i="2"/>
  <c r="R95" i="2"/>
  <c r="R99" i="2"/>
  <c r="R100" i="2"/>
  <c r="R101" i="2"/>
  <c r="R104" i="2"/>
  <c r="R105" i="2"/>
  <c r="R109" i="2"/>
  <c r="R110" i="2"/>
  <c r="R111" i="2"/>
  <c r="R114" i="2"/>
  <c r="R115" i="2"/>
  <c r="R119" i="2"/>
  <c r="R120" i="2"/>
  <c r="R121" i="2"/>
  <c r="R124" i="2"/>
  <c r="R125" i="2"/>
  <c r="R129" i="2"/>
  <c r="R130" i="2"/>
  <c r="R131" i="2"/>
  <c r="R134" i="2"/>
  <c r="R135" i="2"/>
  <c r="R139" i="2"/>
  <c r="R140" i="2"/>
  <c r="R141" i="2"/>
  <c r="R144" i="2"/>
  <c r="R145" i="2"/>
  <c r="R149" i="2"/>
  <c r="R150" i="2"/>
  <c r="R151" i="2"/>
  <c r="R154" i="2"/>
  <c r="R155" i="2"/>
  <c r="R159" i="2"/>
  <c r="R160" i="2"/>
  <c r="R161" i="2"/>
  <c r="R164" i="2"/>
  <c r="R165" i="2"/>
  <c r="R169" i="2"/>
  <c r="R170" i="2"/>
  <c r="R171" i="2"/>
  <c r="R174" i="2"/>
  <c r="R175" i="2"/>
  <c r="R179" i="2"/>
  <c r="R180" i="2"/>
  <c r="R181" i="2"/>
  <c r="R184" i="2"/>
  <c r="R185" i="2"/>
  <c r="R189" i="2"/>
  <c r="R190" i="2"/>
  <c r="R191" i="2"/>
  <c r="R194" i="2"/>
  <c r="R195" i="2"/>
  <c r="R199" i="2"/>
  <c r="R200" i="2"/>
  <c r="R201" i="2"/>
  <c r="R204" i="2"/>
  <c r="R205" i="2"/>
  <c r="R209" i="2"/>
  <c r="R210" i="2"/>
  <c r="R211" i="2"/>
  <c r="R214" i="2"/>
  <c r="R215" i="2"/>
  <c r="R219" i="2"/>
  <c r="R220" i="2"/>
  <c r="R221" i="2"/>
  <c r="R224" i="2"/>
  <c r="R225" i="2"/>
  <c r="R229" i="2"/>
  <c r="R230" i="2"/>
  <c r="R231" i="2"/>
  <c r="R234" i="2"/>
  <c r="R235" i="2"/>
  <c r="R239" i="2"/>
  <c r="R240" i="2"/>
  <c r="R241" i="2"/>
  <c r="R244" i="2"/>
  <c r="R245" i="2"/>
  <c r="R249" i="2"/>
  <c r="R250" i="2"/>
  <c r="R251" i="2"/>
  <c r="R254" i="2"/>
  <c r="R255" i="2"/>
  <c r="R259" i="2"/>
  <c r="R260" i="2"/>
  <c r="R261" i="2"/>
  <c r="R264" i="2"/>
  <c r="R265" i="2"/>
  <c r="R269" i="2"/>
  <c r="R270" i="2"/>
  <c r="R271" i="2"/>
  <c r="R274" i="2"/>
  <c r="R275" i="2"/>
  <c r="R279" i="2"/>
  <c r="R280" i="2"/>
  <c r="R281" i="2"/>
  <c r="R284" i="2"/>
  <c r="R285" i="2"/>
  <c r="R289" i="2"/>
  <c r="R290" i="2"/>
  <c r="R291" i="2"/>
  <c r="R294" i="2"/>
  <c r="R295" i="2"/>
  <c r="R299" i="2"/>
  <c r="R300" i="2"/>
  <c r="R301" i="2"/>
  <c r="R304" i="2"/>
  <c r="R305" i="2"/>
  <c r="R309" i="2"/>
  <c r="R310" i="2"/>
  <c r="R311" i="2"/>
  <c r="R314" i="2"/>
  <c r="R315" i="2"/>
  <c r="R443" i="2"/>
  <c r="R635" i="2" s="1"/>
  <c r="R447" i="2"/>
  <c r="R636" i="2" s="1"/>
  <c r="R448" i="2"/>
  <c r="R637" i="2" s="1"/>
  <c r="R449" i="2"/>
  <c r="R638" i="2" s="1"/>
  <c r="R450" i="2"/>
  <c r="R639" i="2" s="1"/>
  <c r="R451" i="2"/>
  <c r="R640" i="2" s="1"/>
  <c r="R452" i="2"/>
  <c r="R641" i="2" s="1"/>
  <c r="R453" i="2"/>
  <c r="R642" i="2" s="1"/>
  <c r="R454" i="2"/>
  <c r="R643" i="2" s="1"/>
  <c r="R455" i="2"/>
  <c r="R644" i="2" s="1"/>
  <c r="R458" i="2"/>
  <c r="R460" i="2"/>
  <c r="R646" i="2" s="1"/>
  <c r="R463" i="2"/>
  <c r="R647" i="2" s="1"/>
  <c r="R464" i="2"/>
  <c r="R648" i="2" s="1"/>
  <c r="R465" i="2"/>
  <c r="R649" i="2" s="1"/>
  <c r="R466" i="2"/>
  <c r="R650" i="2" s="1"/>
  <c r="R467" i="2"/>
  <c r="R651" i="2" s="1"/>
  <c r="R468" i="2"/>
  <c r="R652" i="2" s="1"/>
  <c r="R469" i="2"/>
  <c r="R653" i="2" s="1"/>
  <c r="R470" i="2"/>
  <c r="R654" i="2" s="1"/>
  <c r="R471" i="2"/>
  <c r="R655" i="2" s="1"/>
  <c r="R476" i="2"/>
  <c r="R657" i="2" s="1"/>
  <c r="R477" i="2"/>
  <c r="R658" i="2" s="1"/>
  <c r="R478" i="2"/>
  <c r="R659" i="2" s="1"/>
  <c r="R479" i="2"/>
  <c r="R660" i="2" s="1"/>
  <c r="R480" i="2"/>
  <c r="R661" i="2" s="1"/>
  <c r="R481" i="2"/>
  <c r="R662" i="2" s="1"/>
  <c r="R482" i="2"/>
  <c r="R663" i="2" s="1"/>
  <c r="R483" i="2"/>
  <c r="R664" i="2" s="1"/>
  <c r="R484" i="2"/>
  <c r="R665" i="2" s="1"/>
  <c r="R485" i="2"/>
  <c r="R666" i="2" s="1"/>
  <c r="R486" i="2"/>
  <c r="R498" i="2"/>
  <c r="R499" i="2"/>
  <c r="R502" i="2"/>
  <c r="R503" i="2"/>
  <c r="R508" i="2"/>
  <c r="R668" i="2" s="1"/>
  <c r="G680" i="2"/>
  <c r="B2" i="8" s="1"/>
  <c r="G497" i="2"/>
  <c r="G432" i="2"/>
  <c r="G8" i="2"/>
  <c r="G456" i="2" s="1"/>
  <c r="G1086" i="2"/>
  <c r="G1084" i="2"/>
  <c r="G689" i="2"/>
  <c r="H8" i="2"/>
  <c r="H674" i="2" s="1"/>
  <c r="H443" i="2"/>
  <c r="H16" i="2"/>
  <c r="H17" i="2"/>
  <c r="H544" i="2" s="1"/>
  <c r="H321" i="2"/>
  <c r="H319" i="2" s="1"/>
  <c r="H318" i="2" s="1"/>
  <c r="H675" i="2" s="1"/>
  <c r="H677" i="2"/>
  <c r="G336" i="2"/>
  <c r="I431" i="2" s="1"/>
  <c r="H336" i="2"/>
  <c r="I336" i="2"/>
  <c r="J336" i="2"/>
  <c r="K336" i="2"/>
  <c r="L336" i="2"/>
  <c r="M336" i="2"/>
  <c r="N336" i="2"/>
  <c r="O336" i="2"/>
  <c r="P336" i="2"/>
  <c r="I8" i="2"/>
  <c r="I674" i="2" s="1"/>
  <c r="I17" i="2"/>
  <c r="I544" i="2" s="1"/>
  <c r="I667" i="2"/>
  <c r="I16" i="2"/>
  <c r="I321" i="2"/>
  <c r="I319" i="2" s="1"/>
  <c r="I677" i="2"/>
  <c r="I497" i="2"/>
  <c r="J8" i="2"/>
  <c r="J497" i="2" s="1"/>
  <c r="J17" i="2"/>
  <c r="J12" i="2" s="1"/>
  <c r="J16" i="2"/>
  <c r="J321" i="2"/>
  <c r="J319" i="2" s="1"/>
  <c r="J677" i="2"/>
  <c r="K8" i="2"/>
  <c r="K674" i="2" s="1"/>
  <c r="K17" i="2"/>
  <c r="K12" i="2" s="1"/>
  <c r="K16" i="2"/>
  <c r="G504" i="2"/>
  <c r="H729" i="2"/>
  <c r="H721" i="2"/>
  <c r="H725" i="2"/>
  <c r="H733" i="2"/>
  <c r="H738" i="2"/>
  <c r="H742" i="2"/>
  <c r="H746" i="2"/>
  <c r="H750" i="2"/>
  <c r="H754" i="2"/>
  <c r="H759" i="2"/>
  <c r="H763" i="2"/>
  <c r="H767" i="2"/>
  <c r="H771" i="2"/>
  <c r="H1140" i="2"/>
  <c r="H502" i="2"/>
  <c r="H501" i="2" s="1"/>
  <c r="I729" i="2"/>
  <c r="I721" i="2"/>
  <c r="I725" i="2"/>
  <c r="I733" i="2"/>
  <c r="I738" i="2"/>
  <c r="I742" i="2"/>
  <c r="I746" i="2"/>
  <c r="I750" i="2"/>
  <c r="I754" i="2"/>
  <c r="I759" i="2"/>
  <c r="I763" i="2"/>
  <c r="I767" i="2"/>
  <c r="I771" i="2"/>
  <c r="I1140" i="2"/>
  <c r="J729" i="2"/>
  <c r="J492" i="2" s="1"/>
  <c r="J320" i="2"/>
  <c r="J721" i="2"/>
  <c r="J725" i="2"/>
  <c r="J733" i="2"/>
  <c r="J738" i="2"/>
  <c r="J742" i="2"/>
  <c r="J746" i="2"/>
  <c r="J750" i="2"/>
  <c r="J754" i="2"/>
  <c r="J759" i="2"/>
  <c r="J763" i="2"/>
  <c r="J767" i="2"/>
  <c r="J771" i="2"/>
  <c r="J1140" i="2"/>
  <c r="F7" i="2"/>
  <c r="G7" i="2"/>
  <c r="G729" i="2"/>
  <c r="G728" i="2" s="1"/>
  <c r="G726" i="2" s="1"/>
  <c r="K320" i="2"/>
  <c r="G721" i="2"/>
  <c r="G720" i="2" s="1"/>
  <c r="G718" i="2" s="1"/>
  <c r="G725" i="2"/>
  <c r="G724" i="2" s="1"/>
  <c r="G722" i="2" s="1"/>
  <c r="G733" i="2"/>
  <c r="G732" i="2" s="1"/>
  <c r="G730" i="2" s="1"/>
  <c r="G738" i="2"/>
  <c r="G737" i="2" s="1"/>
  <c r="G742" i="2"/>
  <c r="G741" i="2" s="1"/>
  <c r="G746" i="2"/>
  <c r="G745" i="2" s="1"/>
  <c r="G743" i="2" s="1"/>
  <c r="G750" i="2"/>
  <c r="G749" i="2" s="1"/>
  <c r="G754" i="2"/>
  <c r="G753" i="2" s="1"/>
  <c r="G751" i="2" s="1"/>
  <c r="G759" i="2"/>
  <c r="G763" i="2"/>
  <c r="G762" i="2" s="1"/>
  <c r="G760" i="2" s="1"/>
  <c r="G767" i="2"/>
  <c r="G766" i="2" s="1"/>
  <c r="G764" i="2" s="1"/>
  <c r="G771" i="2"/>
  <c r="G770" i="2" s="1"/>
  <c r="G768" i="2" s="1"/>
  <c r="K1140" i="2"/>
  <c r="K321" i="2"/>
  <c r="K502" i="2" s="1"/>
  <c r="G506" i="2"/>
  <c r="G505" i="2" s="1"/>
  <c r="H506" i="2"/>
  <c r="H505" i="2" s="1"/>
  <c r="I506" i="2"/>
  <c r="I505" i="2" s="1"/>
  <c r="J506" i="2"/>
  <c r="J505" i="2" s="1"/>
  <c r="K506" i="2"/>
  <c r="K505" i="2" s="1"/>
  <c r="K677" i="2"/>
  <c r="A349" i="2"/>
  <c r="A350" i="2"/>
  <c r="A351" i="2"/>
  <c r="G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G354" i="2"/>
  <c r="H354" i="2" s="1"/>
  <c r="I354" i="2" s="1"/>
  <c r="J354" i="2" s="1"/>
  <c r="K354" i="2" s="1"/>
  <c r="L354" i="2" s="1"/>
  <c r="M354" i="2" s="1"/>
  <c r="N354" i="2" s="1"/>
  <c r="O354" i="2" s="1"/>
  <c r="P354" i="2" s="1"/>
  <c r="G357" i="2"/>
  <c r="H357" i="2" s="1"/>
  <c r="I357" i="2" s="1"/>
  <c r="J357" i="2" s="1"/>
  <c r="K357" i="2" s="1"/>
  <c r="L357" i="2" s="1"/>
  <c r="M357" i="2" s="1"/>
  <c r="N357" i="2" s="1"/>
  <c r="O357" i="2" s="1"/>
  <c r="P357" i="2" s="1"/>
  <c r="G360" i="2"/>
  <c r="H360" i="2" s="1"/>
  <c r="I360" i="2" s="1"/>
  <c r="J360" i="2" s="1"/>
  <c r="K360" i="2" s="1"/>
  <c r="L360" i="2" s="1"/>
  <c r="M360" i="2" s="1"/>
  <c r="N360" i="2" s="1"/>
  <c r="O360" i="2" s="1"/>
  <c r="P360" i="2" s="1"/>
  <c r="G363" i="2"/>
  <c r="H363" i="2" s="1"/>
  <c r="I363" i="2" s="1"/>
  <c r="J363" i="2" s="1"/>
  <c r="K363" i="2" s="1"/>
  <c r="L363" i="2" s="1"/>
  <c r="M363" i="2" s="1"/>
  <c r="N363" i="2" s="1"/>
  <c r="O363" i="2" s="1"/>
  <c r="P363" i="2" s="1"/>
  <c r="G366" i="2"/>
  <c r="H366" i="2" s="1"/>
  <c r="I366" i="2" s="1"/>
  <c r="J366" i="2" s="1"/>
  <c r="K366" i="2" s="1"/>
  <c r="L366" i="2" s="1"/>
  <c r="M366" i="2" s="1"/>
  <c r="N366" i="2" s="1"/>
  <c r="O366" i="2" s="1"/>
  <c r="P366" i="2" s="1"/>
  <c r="G369" i="2"/>
  <c r="H369" i="2" s="1"/>
  <c r="I369" i="2" s="1"/>
  <c r="J369" i="2" s="1"/>
  <c r="K369" i="2" s="1"/>
  <c r="L369" i="2" s="1"/>
  <c r="M369" i="2" s="1"/>
  <c r="N369" i="2" s="1"/>
  <c r="O369" i="2" s="1"/>
  <c r="P369" i="2" s="1"/>
  <c r="G372" i="2"/>
  <c r="H372" i="2" s="1"/>
  <c r="I372" i="2" s="1"/>
  <c r="J372" i="2" s="1"/>
  <c r="K372" i="2" s="1"/>
  <c r="L372" i="2" s="1"/>
  <c r="M372" i="2" s="1"/>
  <c r="N372" i="2" s="1"/>
  <c r="O372" i="2" s="1"/>
  <c r="P372" i="2" s="1"/>
  <c r="G375" i="2"/>
  <c r="H375" i="2" s="1"/>
  <c r="I375" i="2" s="1"/>
  <c r="J375" i="2" s="1"/>
  <c r="K375" i="2" s="1"/>
  <c r="L375" i="2" s="1"/>
  <c r="M375" i="2" s="1"/>
  <c r="N375" i="2" s="1"/>
  <c r="O375" i="2" s="1"/>
  <c r="P375" i="2" s="1"/>
  <c r="G378" i="2"/>
  <c r="H378" i="2" s="1"/>
  <c r="I378" i="2" s="1"/>
  <c r="J378" i="2" s="1"/>
  <c r="K378" i="2" s="1"/>
  <c r="L378" i="2" s="1"/>
  <c r="M378" i="2" s="1"/>
  <c r="N378" i="2" s="1"/>
  <c r="O378" i="2" s="1"/>
  <c r="P378" i="2" s="1"/>
  <c r="G381" i="2"/>
  <c r="H381" i="2" s="1"/>
  <c r="I381" i="2" s="1"/>
  <c r="J381" i="2" s="1"/>
  <c r="K381" i="2" s="1"/>
  <c r="L381" i="2" s="1"/>
  <c r="M381" i="2" s="1"/>
  <c r="N381" i="2" s="1"/>
  <c r="O381" i="2" s="1"/>
  <c r="P381" i="2" s="1"/>
  <c r="G384" i="2"/>
  <c r="H384" i="2" s="1"/>
  <c r="I384" i="2" s="1"/>
  <c r="J384" i="2" s="1"/>
  <c r="K384" i="2" s="1"/>
  <c r="L384" i="2" s="1"/>
  <c r="M384" i="2" s="1"/>
  <c r="N384" i="2" s="1"/>
  <c r="O384" i="2" s="1"/>
  <c r="P384" i="2" s="1"/>
  <c r="K431" i="2"/>
  <c r="G1087" i="2"/>
  <c r="G1085" i="2"/>
  <c r="L8" i="2"/>
  <c r="L17" i="2"/>
  <c r="L12" i="2" s="1"/>
  <c r="L16" i="2"/>
  <c r="L335" i="2" s="1"/>
  <c r="L320" i="2"/>
  <c r="L1140" i="2"/>
  <c r="L321" i="2"/>
  <c r="L502" i="2" s="1"/>
  <c r="L506" i="2"/>
  <c r="L505" i="2" s="1"/>
  <c r="L677" i="2"/>
  <c r="M8" i="2"/>
  <c r="M674" i="2" s="1"/>
  <c r="M17" i="2"/>
  <c r="M12" i="2" s="1"/>
  <c r="M16" i="2"/>
  <c r="M11" i="2" s="1"/>
  <c r="M320" i="2"/>
  <c r="M1140" i="2"/>
  <c r="M321" i="2"/>
  <c r="M506" i="2"/>
  <c r="M505" i="2" s="1"/>
  <c r="M677" i="2"/>
  <c r="N8" i="2"/>
  <c r="N17" i="2"/>
  <c r="N12" i="2" s="1"/>
  <c r="N667" i="2"/>
  <c r="N16" i="2"/>
  <c r="N11" i="2" s="1"/>
  <c r="N1140" i="2"/>
  <c r="N497" i="2"/>
  <c r="N321" i="2"/>
  <c r="N506" i="2"/>
  <c r="N505" i="2" s="1"/>
  <c r="N674" i="2"/>
  <c r="N677" i="2"/>
  <c r="O8" i="2"/>
  <c r="O497" i="2" s="1"/>
  <c r="O17" i="2"/>
  <c r="O12" i="2" s="1"/>
  <c r="O16" i="2"/>
  <c r="O11" i="2" s="1"/>
  <c r="O320" i="2"/>
  <c r="O1140" i="2"/>
  <c r="O321" i="2"/>
  <c r="O506" i="2"/>
  <c r="O505" i="2" s="1"/>
  <c r="O677" i="2"/>
  <c r="P8" i="2"/>
  <c r="P667" i="2" s="1"/>
  <c r="P17" i="2"/>
  <c r="P12" i="2" s="1"/>
  <c r="P16" i="2"/>
  <c r="Q17" i="2" s="1"/>
  <c r="P320" i="2"/>
  <c r="P1140" i="2"/>
  <c r="P321" i="2"/>
  <c r="P506" i="2"/>
  <c r="P505" i="2" s="1"/>
  <c r="P677" i="2"/>
  <c r="Q8" i="2"/>
  <c r="Q674" i="2" s="1"/>
  <c r="Q1140" i="2"/>
  <c r="Q506" i="2"/>
  <c r="Q505" i="2" s="1"/>
  <c r="F547" i="2"/>
  <c r="G547" i="2" s="1"/>
  <c r="G776" i="2"/>
  <c r="H776" i="2" s="1"/>
  <c r="G777" i="2"/>
  <c r="G568" i="2" s="1"/>
  <c r="H568" i="2" s="1"/>
  <c r="I568" i="2" s="1"/>
  <c r="J568" i="2" s="1"/>
  <c r="K568" i="2" s="1"/>
  <c r="L568" i="2" s="1"/>
  <c r="M568" i="2" s="1"/>
  <c r="N568" i="2" s="1"/>
  <c r="O568" i="2" s="1"/>
  <c r="P568" i="2" s="1"/>
  <c r="G778" i="2"/>
  <c r="H778" i="2" s="1"/>
  <c r="G572" i="2"/>
  <c r="H572" i="2" s="1"/>
  <c r="I572" i="2" s="1"/>
  <c r="J572" i="2" s="1"/>
  <c r="K572" i="2" s="1"/>
  <c r="L572" i="2" s="1"/>
  <c r="M572" i="2" s="1"/>
  <c r="N572" i="2" s="1"/>
  <c r="O572" i="2" s="1"/>
  <c r="P572" i="2" s="1"/>
  <c r="F577" i="2"/>
  <c r="G577" i="2" s="1"/>
  <c r="F599" i="2"/>
  <c r="G599" i="2" s="1"/>
  <c r="G822" i="2"/>
  <c r="H822" i="2" s="1"/>
  <c r="G823" i="2"/>
  <c r="G620" i="2" s="1"/>
  <c r="H620" i="2" s="1"/>
  <c r="I620" i="2" s="1"/>
  <c r="J620" i="2" s="1"/>
  <c r="K620" i="2" s="1"/>
  <c r="L620" i="2" s="1"/>
  <c r="M620" i="2" s="1"/>
  <c r="N620" i="2" s="1"/>
  <c r="O620" i="2" s="1"/>
  <c r="P620" i="2" s="1"/>
  <c r="G824" i="2"/>
  <c r="H824" i="2" s="1"/>
  <c r="I824" i="2" s="1"/>
  <c r="J824" i="2" s="1"/>
  <c r="K824" i="2" s="1"/>
  <c r="L824" i="2" s="1"/>
  <c r="M824" i="2" s="1"/>
  <c r="N824" i="2" s="1"/>
  <c r="O824" i="2" s="1"/>
  <c r="P824" i="2" s="1"/>
  <c r="P622" i="2" s="1"/>
  <c r="Q677" i="2"/>
  <c r="Q525" i="2"/>
  <c r="Q526" i="2"/>
  <c r="Q1085" i="2"/>
  <c r="Q2" i="2"/>
  <c r="F3" i="2"/>
  <c r="F16" i="2" s="1"/>
  <c r="Q3" i="2"/>
  <c r="H7" i="2"/>
  <c r="I7" i="2"/>
  <c r="J7" i="2"/>
  <c r="K7" i="2"/>
  <c r="L7" i="2"/>
  <c r="M7" i="2"/>
  <c r="N7" i="2"/>
  <c r="O7" i="2"/>
  <c r="P7" i="2"/>
  <c r="Q7" i="2" s="1"/>
  <c r="F8" i="2"/>
  <c r="G16" i="2"/>
  <c r="G11" i="2" s="1"/>
  <c r="H11" i="2"/>
  <c r="I11" i="2"/>
  <c r="J11" i="2"/>
  <c r="K11" i="2"/>
  <c r="F17" i="2"/>
  <c r="F12" i="2" s="1"/>
  <c r="R13" i="2"/>
  <c r="G15" i="2"/>
  <c r="G1064" i="2"/>
  <c r="H993" i="2"/>
  <c r="H994" i="2"/>
  <c r="H995" i="2"/>
  <c r="H996" i="2"/>
  <c r="I993" i="2"/>
  <c r="I994" i="2"/>
  <c r="I995" i="2"/>
  <c r="I996" i="2"/>
  <c r="J993" i="2"/>
  <c r="J994" i="2"/>
  <c r="J995" i="2"/>
  <c r="J996" i="2"/>
  <c r="K993" i="2"/>
  <c r="K994" i="2"/>
  <c r="K995" i="2"/>
  <c r="K996" i="2"/>
  <c r="L993" i="2"/>
  <c r="L994" i="2"/>
  <c r="L995" i="2"/>
  <c r="L996" i="2"/>
  <c r="M993" i="2"/>
  <c r="M994" i="2"/>
  <c r="M995" i="2"/>
  <c r="M996" i="2"/>
  <c r="N993" i="2"/>
  <c r="N994" i="2"/>
  <c r="N995" i="2"/>
  <c r="N996" i="2"/>
  <c r="O993" i="2"/>
  <c r="O994" i="2"/>
  <c r="O995" i="2"/>
  <c r="O996" i="2"/>
  <c r="P993" i="2"/>
  <c r="P994" i="2"/>
  <c r="P995" i="2"/>
  <c r="P996" i="2"/>
  <c r="Q15" i="2"/>
  <c r="B16" i="2"/>
  <c r="C16" i="2"/>
  <c r="C34" i="2" s="1"/>
  <c r="C26" i="2"/>
  <c r="C27" i="2"/>
  <c r="C36" i="2"/>
  <c r="C37" i="2"/>
  <c r="C44" i="2"/>
  <c r="C46" i="2"/>
  <c r="C47" i="2"/>
  <c r="C56" i="2"/>
  <c r="C57" i="2"/>
  <c r="C66" i="2"/>
  <c r="C67" i="2"/>
  <c r="C76" i="2"/>
  <c r="C77" i="2"/>
  <c r="C84" i="2"/>
  <c r="C86" i="2"/>
  <c r="C87" i="2"/>
  <c r="C96" i="2"/>
  <c r="C97" i="2"/>
  <c r="C106" i="2"/>
  <c r="C107" i="2"/>
  <c r="C114" i="2"/>
  <c r="C116" i="2"/>
  <c r="C117" i="2"/>
  <c r="C126" i="2"/>
  <c r="C127" i="2"/>
  <c r="C136" i="2"/>
  <c r="C137" i="2"/>
  <c r="C146" i="2"/>
  <c r="C147" i="2"/>
  <c r="C156" i="2"/>
  <c r="C157" i="2"/>
  <c r="C166" i="2"/>
  <c r="C167" i="2"/>
  <c r="C176" i="2"/>
  <c r="C177" i="2"/>
  <c r="C184" i="2"/>
  <c r="C186" i="2"/>
  <c r="C187" i="2"/>
  <c r="C196" i="2"/>
  <c r="C197" i="2"/>
  <c r="C206" i="2"/>
  <c r="C207" i="2"/>
  <c r="C216" i="2"/>
  <c r="C217" i="2"/>
  <c r="C224" i="2"/>
  <c r="C226" i="2"/>
  <c r="C227" i="2"/>
  <c r="C236" i="2"/>
  <c r="C237" i="2"/>
  <c r="C246" i="2"/>
  <c r="C247" i="2"/>
  <c r="C254" i="2"/>
  <c r="C256" i="2"/>
  <c r="C257" i="2"/>
  <c r="C266" i="2"/>
  <c r="C267" i="2"/>
  <c r="C276" i="2"/>
  <c r="C277" i="2"/>
  <c r="C286" i="2"/>
  <c r="C287" i="2"/>
  <c r="C296" i="2"/>
  <c r="C297" i="2"/>
  <c r="C306" i="2"/>
  <c r="C307" i="2"/>
  <c r="C316" i="2"/>
  <c r="C317" i="2"/>
  <c r="F318" i="2"/>
  <c r="G319" i="2"/>
  <c r="F320" i="2"/>
  <c r="G320" i="2"/>
  <c r="G321" i="2"/>
  <c r="F322" i="2"/>
  <c r="G324" i="2"/>
  <c r="H326" i="2"/>
  <c r="H324" i="2" s="1"/>
  <c r="I326" i="2"/>
  <c r="I324" i="2" s="1"/>
  <c r="J326" i="2"/>
  <c r="J324" i="2" s="1"/>
  <c r="K326" i="2"/>
  <c r="K324" i="2" s="1"/>
  <c r="L326" i="2"/>
  <c r="L324" i="2" s="1"/>
  <c r="M326" i="2"/>
  <c r="M324" i="2" s="1"/>
  <c r="N326" i="2"/>
  <c r="N324" i="2" s="1"/>
  <c r="O326" i="2"/>
  <c r="O324" i="2" s="1"/>
  <c r="P326" i="2"/>
  <c r="P324" i="2" s="1"/>
  <c r="F325" i="2"/>
  <c r="G325" i="2"/>
  <c r="H325" i="2"/>
  <c r="I325" i="2"/>
  <c r="J325" i="2"/>
  <c r="K325" i="2"/>
  <c r="L325" i="2"/>
  <c r="M325" i="2"/>
  <c r="N325" i="2"/>
  <c r="O325" i="2"/>
  <c r="P325" i="2"/>
  <c r="G326" i="2"/>
  <c r="F327" i="2"/>
  <c r="G335" i="2"/>
  <c r="H335" i="2"/>
  <c r="I335" i="2"/>
  <c r="J335" i="2"/>
  <c r="K335" i="2"/>
  <c r="M335" i="2"/>
  <c r="N335" i="2"/>
  <c r="G800" i="2"/>
  <c r="H800" i="2" s="1"/>
  <c r="G801" i="2"/>
  <c r="G802" i="2"/>
  <c r="H802" i="2" s="1"/>
  <c r="F443" i="2"/>
  <c r="F576" i="2"/>
  <c r="F475" i="2"/>
  <c r="F656" i="2" s="1"/>
  <c r="F497" i="2"/>
  <c r="F687" i="2" s="1"/>
  <c r="F502" i="2"/>
  <c r="F501" i="2" s="1"/>
  <c r="F505" i="2"/>
  <c r="G511" i="2"/>
  <c r="G804" i="2"/>
  <c r="H342" i="2" s="1"/>
  <c r="G806" i="2"/>
  <c r="G807" i="2"/>
  <c r="H807" i="2" s="1"/>
  <c r="I807" i="2" s="1"/>
  <c r="J807" i="2" s="1"/>
  <c r="K807" i="2" s="1"/>
  <c r="L807" i="2" s="1"/>
  <c r="M807" i="2" s="1"/>
  <c r="N807" i="2" s="1"/>
  <c r="O807" i="2" s="1"/>
  <c r="P807" i="2" s="1"/>
  <c r="Q807" i="2" s="1"/>
  <c r="G344" i="2"/>
  <c r="G404" i="2" s="1"/>
  <c r="H344" i="2"/>
  <c r="H401" i="2" s="1"/>
  <c r="I344" i="2"/>
  <c r="I423" i="2" s="1"/>
  <c r="J344" i="2"/>
  <c r="J401" i="2" s="1"/>
  <c r="K344" i="2"/>
  <c r="K392" i="2" s="1"/>
  <c r="L344" i="2"/>
  <c r="L386" i="2" s="1"/>
  <c r="M344" i="2"/>
  <c r="M398" i="2" s="1"/>
  <c r="N344" i="2"/>
  <c r="N395" i="2" s="1"/>
  <c r="O344" i="2"/>
  <c r="O407" i="2" s="1"/>
  <c r="P344" i="2"/>
  <c r="P386" i="2" s="1"/>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A386" i="2"/>
  <c r="C386" i="2"/>
  <c r="A387" i="2"/>
  <c r="C387" i="2"/>
  <c r="G387" i="2"/>
  <c r="H387" i="2"/>
  <c r="I387" i="2"/>
  <c r="J387" i="2"/>
  <c r="K387" i="2"/>
  <c r="L387" i="2"/>
  <c r="M387" i="2"/>
  <c r="N387" i="2"/>
  <c r="O387" i="2"/>
  <c r="P387" i="2"/>
  <c r="A388" i="2"/>
  <c r="C388" i="2"/>
  <c r="A389" i="2"/>
  <c r="C389" i="2"/>
  <c r="A390" i="2"/>
  <c r="C390" i="2"/>
  <c r="G390" i="2"/>
  <c r="H390" i="2"/>
  <c r="I390" i="2"/>
  <c r="J390" i="2"/>
  <c r="K390" i="2"/>
  <c r="L390" i="2"/>
  <c r="M390" i="2"/>
  <c r="N390" i="2"/>
  <c r="O390" i="2"/>
  <c r="P390" i="2"/>
  <c r="A391" i="2"/>
  <c r="C391" i="2"/>
  <c r="A392" i="2"/>
  <c r="C392" i="2"/>
  <c r="A393" i="2"/>
  <c r="C393" i="2"/>
  <c r="G393" i="2"/>
  <c r="H393" i="2"/>
  <c r="I393" i="2"/>
  <c r="J393" i="2"/>
  <c r="K393" i="2"/>
  <c r="L393" i="2"/>
  <c r="M393" i="2"/>
  <c r="N393" i="2"/>
  <c r="O393" i="2"/>
  <c r="P393" i="2"/>
  <c r="A394" i="2"/>
  <c r="C394" i="2"/>
  <c r="A395" i="2"/>
  <c r="C395" i="2"/>
  <c r="A396" i="2"/>
  <c r="C396" i="2"/>
  <c r="G396" i="2"/>
  <c r="H396" i="2"/>
  <c r="I396" i="2"/>
  <c r="J396" i="2"/>
  <c r="K396" i="2"/>
  <c r="L396" i="2"/>
  <c r="M396" i="2"/>
  <c r="N396" i="2"/>
  <c r="O396" i="2"/>
  <c r="P396" i="2"/>
  <c r="A397" i="2"/>
  <c r="C397" i="2"/>
  <c r="A398" i="2"/>
  <c r="C398" i="2"/>
  <c r="A399" i="2"/>
  <c r="C399" i="2"/>
  <c r="G399" i="2"/>
  <c r="H399" i="2"/>
  <c r="I399" i="2"/>
  <c r="J399" i="2"/>
  <c r="K399" i="2"/>
  <c r="L399" i="2"/>
  <c r="M399" i="2"/>
  <c r="N399" i="2"/>
  <c r="O399" i="2"/>
  <c r="P399" i="2"/>
  <c r="A400" i="2"/>
  <c r="C400" i="2"/>
  <c r="A401" i="2"/>
  <c r="C401" i="2"/>
  <c r="A402" i="2"/>
  <c r="C402" i="2"/>
  <c r="G402" i="2"/>
  <c r="H402" i="2"/>
  <c r="I402" i="2"/>
  <c r="J402" i="2"/>
  <c r="K402" i="2"/>
  <c r="L402" i="2"/>
  <c r="M402" i="2"/>
  <c r="N402" i="2"/>
  <c r="O402" i="2"/>
  <c r="P402" i="2"/>
  <c r="A403" i="2"/>
  <c r="C403" i="2"/>
  <c r="A404" i="2"/>
  <c r="C404" i="2"/>
  <c r="A405" i="2"/>
  <c r="C405" i="2"/>
  <c r="G405" i="2"/>
  <c r="H405" i="2"/>
  <c r="I405" i="2"/>
  <c r="J405" i="2"/>
  <c r="K405" i="2"/>
  <c r="L405" i="2"/>
  <c r="M405" i="2"/>
  <c r="N405" i="2"/>
  <c r="O405" i="2"/>
  <c r="P405" i="2"/>
  <c r="A406" i="2"/>
  <c r="C406" i="2"/>
  <c r="A407" i="2"/>
  <c r="C407" i="2"/>
  <c r="A408" i="2"/>
  <c r="C408" i="2"/>
  <c r="G408" i="2"/>
  <c r="H408" i="2"/>
  <c r="I408" i="2"/>
  <c r="J408" i="2"/>
  <c r="K408" i="2"/>
  <c r="L408" i="2"/>
  <c r="M408" i="2"/>
  <c r="N408" i="2"/>
  <c r="O408" i="2"/>
  <c r="P408" i="2"/>
  <c r="A409" i="2"/>
  <c r="C409" i="2"/>
  <c r="A410" i="2"/>
  <c r="C410" i="2"/>
  <c r="A411" i="2"/>
  <c r="C411" i="2"/>
  <c r="G411" i="2"/>
  <c r="H411" i="2"/>
  <c r="I411" i="2"/>
  <c r="J411" i="2"/>
  <c r="K411" i="2"/>
  <c r="L411" i="2"/>
  <c r="M411" i="2"/>
  <c r="N411" i="2"/>
  <c r="O411" i="2"/>
  <c r="P411" i="2"/>
  <c r="A412" i="2"/>
  <c r="C412" i="2"/>
  <c r="A413" i="2"/>
  <c r="C413" i="2"/>
  <c r="A414" i="2"/>
  <c r="C414" i="2"/>
  <c r="G414" i="2"/>
  <c r="H414" i="2"/>
  <c r="I414" i="2"/>
  <c r="J414" i="2"/>
  <c r="K414" i="2"/>
  <c r="L414" i="2"/>
  <c r="M414" i="2"/>
  <c r="N414" i="2"/>
  <c r="O414" i="2"/>
  <c r="P414" i="2"/>
  <c r="A415" i="2"/>
  <c r="C415" i="2"/>
  <c r="A416" i="2"/>
  <c r="C416" i="2"/>
  <c r="A417" i="2"/>
  <c r="C417" i="2"/>
  <c r="G417" i="2"/>
  <c r="H417" i="2"/>
  <c r="I417" i="2"/>
  <c r="J417" i="2"/>
  <c r="K417" i="2"/>
  <c r="L417" i="2"/>
  <c r="M417" i="2"/>
  <c r="N417" i="2"/>
  <c r="O417" i="2"/>
  <c r="P417" i="2"/>
  <c r="A418" i="2"/>
  <c r="C418" i="2"/>
  <c r="A419" i="2"/>
  <c r="C419" i="2"/>
  <c r="A420" i="2"/>
  <c r="C420" i="2"/>
  <c r="G420" i="2"/>
  <c r="H420" i="2"/>
  <c r="I420" i="2"/>
  <c r="J420" i="2"/>
  <c r="K420" i="2"/>
  <c r="L420" i="2"/>
  <c r="M420" i="2"/>
  <c r="N420" i="2"/>
  <c r="O420" i="2"/>
  <c r="P420" i="2"/>
  <c r="A421" i="2"/>
  <c r="C421" i="2"/>
  <c r="G429" i="2"/>
  <c r="G705" i="2" s="1"/>
  <c r="G831" i="2"/>
  <c r="G1076" i="2"/>
  <c r="G834" i="2" s="1"/>
  <c r="H529" i="2"/>
  <c r="H1076" i="2"/>
  <c r="H834" i="2" s="1"/>
  <c r="I529" i="2"/>
  <c r="I1076" i="2"/>
  <c r="I834" i="2" s="1"/>
  <c r="J529" i="2"/>
  <c r="J1076" i="2"/>
  <c r="J834" i="2" s="1"/>
  <c r="K529" i="2"/>
  <c r="K1076" i="2"/>
  <c r="K834" i="2" s="1"/>
  <c r="L529" i="2"/>
  <c r="L1076" i="2"/>
  <c r="L834" i="2" s="1"/>
  <c r="M529" i="2"/>
  <c r="M1076" i="2"/>
  <c r="M834" i="2" s="1"/>
  <c r="N529" i="2"/>
  <c r="N1076" i="2"/>
  <c r="N834" i="2" s="1"/>
  <c r="O529" i="2"/>
  <c r="O1076" i="2"/>
  <c r="O834" i="2" s="1"/>
  <c r="P529" i="2"/>
  <c r="P1076" i="2"/>
  <c r="P834" i="2" s="1"/>
  <c r="G431" i="2"/>
  <c r="B440" i="2"/>
  <c r="F440" i="2"/>
  <c r="G440" i="2"/>
  <c r="H440" i="2"/>
  <c r="H631" i="2" s="1"/>
  <c r="I440" i="2"/>
  <c r="I631" i="2" s="1"/>
  <c r="J440" i="2"/>
  <c r="J631" i="2" s="1"/>
  <c r="K440" i="2"/>
  <c r="K631" i="2" s="1"/>
  <c r="L440" i="2"/>
  <c r="L631" i="2" s="1"/>
  <c r="M440" i="2"/>
  <c r="M631" i="2" s="1"/>
  <c r="N440" i="2"/>
  <c r="N631" i="2" s="1"/>
  <c r="N1212" i="2" s="1"/>
  <c r="N1223" i="2" s="1"/>
  <c r="N1227" i="2" s="1"/>
  <c r="O440" i="2"/>
  <c r="O631" i="2" s="1"/>
  <c r="P440" i="2"/>
  <c r="P631" i="2" s="1"/>
  <c r="F441" i="2"/>
  <c r="H441" i="2"/>
  <c r="I441" i="2"/>
  <c r="J441" i="2"/>
  <c r="L441" i="2"/>
  <c r="M441" i="2"/>
  <c r="N441" i="2"/>
  <c r="O441" i="2"/>
  <c r="P441" i="2"/>
  <c r="B458" i="2"/>
  <c r="G459" i="2"/>
  <c r="G645" i="2" s="1"/>
  <c r="G472" i="2"/>
  <c r="G475" i="2"/>
  <c r="G656" i="2" s="1"/>
  <c r="G488" i="2"/>
  <c r="G494" i="2"/>
  <c r="C498" i="2"/>
  <c r="G500" i="2"/>
  <c r="G501" i="2"/>
  <c r="G502" i="2"/>
  <c r="C507" i="2"/>
  <c r="Q513" i="2"/>
  <c r="F1022" i="2"/>
  <c r="F718" i="2"/>
  <c r="F722" i="2"/>
  <c r="F726" i="2"/>
  <c r="F730" i="2"/>
  <c r="F736" i="2"/>
  <c r="F735" i="2" s="1"/>
  <c r="F740" i="2"/>
  <c r="F739" i="2" s="1"/>
  <c r="F743" i="2"/>
  <c r="F747" i="2"/>
  <c r="F751" i="2"/>
  <c r="F756" i="2"/>
  <c r="F760" i="2"/>
  <c r="F764" i="2"/>
  <c r="F768" i="2"/>
  <c r="F568" i="2"/>
  <c r="F569" i="2" s="1"/>
  <c r="F620" i="2"/>
  <c r="G625" i="2"/>
  <c r="G669" i="2" s="1"/>
  <c r="G813" i="2"/>
  <c r="H813" i="2" s="1"/>
  <c r="I813" i="2" s="1"/>
  <c r="J813" i="2" s="1"/>
  <c r="K813" i="2" s="1"/>
  <c r="L813" i="2" s="1"/>
  <c r="M813" i="2" s="1"/>
  <c r="N813" i="2" s="1"/>
  <c r="O813" i="2" s="1"/>
  <c r="P813" i="2" s="1"/>
  <c r="Q813" i="2" s="1"/>
  <c r="G815" i="2"/>
  <c r="K1219" i="2"/>
  <c r="L1219" i="2"/>
  <c r="M1219" i="2"/>
  <c r="N1219" i="2"/>
  <c r="O1219" i="2"/>
  <c r="P1219" i="2"/>
  <c r="O825" i="2"/>
  <c r="Q825" i="2"/>
  <c r="H530" i="2"/>
  <c r="I530" i="2"/>
  <c r="J530" i="2"/>
  <c r="K1220" i="2"/>
  <c r="L1220" i="2"/>
  <c r="M1220" i="2"/>
  <c r="N1220" i="2"/>
  <c r="O1220" i="2"/>
  <c r="P1220" i="2"/>
  <c r="Q782" i="2"/>
  <c r="Q783" i="2"/>
  <c r="Q784" i="2"/>
  <c r="Q785" i="2"/>
  <c r="Q786" i="2"/>
  <c r="Q787" i="2"/>
  <c r="Q788" i="2"/>
  <c r="Q789" i="2"/>
  <c r="Q790" i="2"/>
  <c r="Q791" i="2"/>
  <c r="Q792" i="2"/>
  <c r="Q793" i="2"/>
  <c r="Q1220" i="2"/>
  <c r="B543" i="2"/>
  <c r="F543" i="2"/>
  <c r="G543" i="2"/>
  <c r="H543" i="2"/>
  <c r="I543" i="2"/>
  <c r="J543" i="2"/>
  <c r="K543" i="2"/>
  <c r="L543" i="2"/>
  <c r="M543" i="2"/>
  <c r="N543" i="2"/>
  <c r="O543" i="2"/>
  <c r="P543" i="2"/>
  <c r="F544" i="2"/>
  <c r="F566" i="2"/>
  <c r="F567" i="2" s="1"/>
  <c r="F570" i="2"/>
  <c r="F571" i="2" s="1"/>
  <c r="G574" i="2"/>
  <c r="G775" i="2" s="1"/>
  <c r="B546" i="2"/>
  <c r="C547" i="2"/>
  <c r="G551" i="2"/>
  <c r="F553" i="2"/>
  <c r="G555" i="2"/>
  <c r="F557" i="2"/>
  <c r="G559" i="2"/>
  <c r="F561" i="2"/>
  <c r="G563" i="2"/>
  <c r="F565" i="2"/>
  <c r="G596" i="2"/>
  <c r="G575" i="2" s="1"/>
  <c r="B576" i="2"/>
  <c r="C577" i="2"/>
  <c r="G581" i="2"/>
  <c r="F583" i="2"/>
  <c r="G585" i="2"/>
  <c r="F587" i="2"/>
  <c r="G589" i="2"/>
  <c r="F591" i="2"/>
  <c r="G593" i="2"/>
  <c r="F595" i="2"/>
  <c r="G624" i="2"/>
  <c r="G597" i="2" s="1"/>
  <c r="B598" i="2"/>
  <c r="G603" i="2"/>
  <c r="F605" i="2"/>
  <c r="G607" i="2"/>
  <c r="F609" i="2"/>
  <c r="G611" i="2"/>
  <c r="F613" i="2"/>
  <c r="G615" i="2"/>
  <c r="F617" i="2"/>
  <c r="F618" i="2"/>
  <c r="F619" i="2" s="1"/>
  <c r="F622" i="2"/>
  <c r="F623" i="2" s="1"/>
  <c r="B631" i="2"/>
  <c r="F631" i="2"/>
  <c r="G631" i="2"/>
  <c r="A2" i="8" s="1"/>
  <c r="F632" i="2"/>
  <c r="H632" i="2"/>
  <c r="I632" i="2"/>
  <c r="J632" i="2"/>
  <c r="L632" i="2"/>
  <c r="M632" i="2"/>
  <c r="N632" i="2"/>
  <c r="O632" i="2"/>
  <c r="P632" i="2"/>
  <c r="G634" i="2"/>
  <c r="C635" i="2"/>
  <c r="F635" i="2"/>
  <c r="G635" i="2"/>
  <c r="H635" i="2"/>
  <c r="Q635" i="2"/>
  <c r="C636" i="2"/>
  <c r="F636" i="2"/>
  <c r="G636" i="2"/>
  <c r="H636" i="2"/>
  <c r="I636" i="2"/>
  <c r="J636" i="2"/>
  <c r="K636" i="2"/>
  <c r="L636" i="2"/>
  <c r="M636" i="2"/>
  <c r="N636" i="2"/>
  <c r="O636" i="2"/>
  <c r="P636" i="2"/>
  <c r="Q636" i="2"/>
  <c r="C637" i="2"/>
  <c r="F637" i="2"/>
  <c r="G637" i="2"/>
  <c r="H637" i="2"/>
  <c r="I637" i="2"/>
  <c r="J637" i="2"/>
  <c r="K637" i="2"/>
  <c r="L637" i="2"/>
  <c r="M637" i="2"/>
  <c r="N637" i="2"/>
  <c r="O637" i="2"/>
  <c r="P637" i="2"/>
  <c r="Q637" i="2"/>
  <c r="C638" i="2"/>
  <c r="F638" i="2"/>
  <c r="G638" i="2"/>
  <c r="H638" i="2"/>
  <c r="I638" i="2"/>
  <c r="J638" i="2"/>
  <c r="K638" i="2"/>
  <c r="L638" i="2"/>
  <c r="M638" i="2"/>
  <c r="N638" i="2"/>
  <c r="O638" i="2"/>
  <c r="P638" i="2"/>
  <c r="Q638" i="2"/>
  <c r="C639" i="2"/>
  <c r="F639" i="2"/>
  <c r="G639" i="2"/>
  <c r="H639" i="2"/>
  <c r="I639" i="2"/>
  <c r="J639" i="2"/>
  <c r="K639" i="2"/>
  <c r="L639" i="2"/>
  <c r="M639" i="2"/>
  <c r="N639" i="2"/>
  <c r="O639" i="2"/>
  <c r="P639" i="2"/>
  <c r="Q639" i="2"/>
  <c r="C640" i="2"/>
  <c r="F640" i="2"/>
  <c r="G640" i="2"/>
  <c r="H640" i="2"/>
  <c r="I640" i="2"/>
  <c r="J640" i="2"/>
  <c r="K640" i="2"/>
  <c r="L640" i="2"/>
  <c r="M640" i="2"/>
  <c r="N640" i="2"/>
  <c r="O640" i="2"/>
  <c r="P640" i="2"/>
  <c r="Q640" i="2"/>
  <c r="C641" i="2"/>
  <c r="F641" i="2"/>
  <c r="G641" i="2"/>
  <c r="H641" i="2"/>
  <c r="I641" i="2"/>
  <c r="J641" i="2"/>
  <c r="K641" i="2"/>
  <c r="L641" i="2"/>
  <c r="M641" i="2"/>
  <c r="N641" i="2"/>
  <c r="O641" i="2"/>
  <c r="P641" i="2"/>
  <c r="Q641" i="2"/>
  <c r="C642" i="2"/>
  <c r="F642" i="2"/>
  <c r="G642" i="2"/>
  <c r="H642" i="2"/>
  <c r="I642" i="2"/>
  <c r="J642" i="2"/>
  <c r="K642" i="2"/>
  <c r="L642" i="2"/>
  <c r="M642" i="2"/>
  <c r="N642" i="2"/>
  <c r="O642" i="2"/>
  <c r="P642" i="2"/>
  <c r="Q642" i="2"/>
  <c r="C643" i="2"/>
  <c r="F643" i="2"/>
  <c r="G643" i="2"/>
  <c r="H643" i="2"/>
  <c r="I643" i="2"/>
  <c r="J643" i="2"/>
  <c r="K643" i="2"/>
  <c r="L643" i="2"/>
  <c r="M643" i="2"/>
  <c r="N643" i="2"/>
  <c r="O643" i="2"/>
  <c r="P643" i="2"/>
  <c r="Q643" i="2"/>
  <c r="C644" i="2"/>
  <c r="F644" i="2"/>
  <c r="G644" i="2"/>
  <c r="H644" i="2"/>
  <c r="I644" i="2"/>
  <c r="J644" i="2"/>
  <c r="K644" i="2"/>
  <c r="L644" i="2"/>
  <c r="M644" i="2"/>
  <c r="N644" i="2"/>
  <c r="O644" i="2"/>
  <c r="P644" i="2"/>
  <c r="Q644" i="2"/>
  <c r="C646" i="2"/>
  <c r="F646" i="2"/>
  <c r="G646" i="2"/>
  <c r="Q646" i="2"/>
  <c r="C647" i="2"/>
  <c r="F647" i="2"/>
  <c r="G647" i="2"/>
  <c r="H647" i="2"/>
  <c r="I647" i="2"/>
  <c r="J647" i="2"/>
  <c r="K647" i="2"/>
  <c r="L647" i="2"/>
  <c r="M647" i="2"/>
  <c r="N647" i="2"/>
  <c r="O647" i="2"/>
  <c r="P647" i="2"/>
  <c r="Q647" i="2"/>
  <c r="C648" i="2"/>
  <c r="F648" i="2"/>
  <c r="G648" i="2"/>
  <c r="H648" i="2"/>
  <c r="I648" i="2"/>
  <c r="J648" i="2"/>
  <c r="K648" i="2"/>
  <c r="L648" i="2"/>
  <c r="M648" i="2"/>
  <c r="N648" i="2"/>
  <c r="O648" i="2"/>
  <c r="P648" i="2"/>
  <c r="Q648" i="2"/>
  <c r="C649" i="2"/>
  <c r="F649" i="2"/>
  <c r="G649" i="2"/>
  <c r="H649" i="2"/>
  <c r="I649" i="2"/>
  <c r="J649" i="2"/>
  <c r="K649" i="2"/>
  <c r="L649" i="2"/>
  <c r="M649" i="2"/>
  <c r="N649" i="2"/>
  <c r="O649" i="2"/>
  <c r="P649" i="2"/>
  <c r="Q649" i="2"/>
  <c r="C650" i="2"/>
  <c r="F650" i="2"/>
  <c r="G650" i="2"/>
  <c r="H650" i="2"/>
  <c r="I650" i="2"/>
  <c r="J650" i="2"/>
  <c r="K650" i="2"/>
  <c r="L650" i="2"/>
  <c r="M650" i="2"/>
  <c r="N650" i="2"/>
  <c r="O650" i="2"/>
  <c r="P650" i="2"/>
  <c r="Q650" i="2"/>
  <c r="C651" i="2"/>
  <c r="F651" i="2"/>
  <c r="G651" i="2"/>
  <c r="H651" i="2"/>
  <c r="I651" i="2"/>
  <c r="J651" i="2"/>
  <c r="K651" i="2"/>
  <c r="L651" i="2"/>
  <c r="M651" i="2"/>
  <c r="N651" i="2"/>
  <c r="O651" i="2"/>
  <c r="P651" i="2"/>
  <c r="Q651" i="2"/>
  <c r="C652" i="2"/>
  <c r="F652" i="2"/>
  <c r="G652" i="2"/>
  <c r="H652" i="2"/>
  <c r="I652" i="2"/>
  <c r="J652" i="2"/>
  <c r="K652" i="2"/>
  <c r="L652" i="2"/>
  <c r="M652" i="2"/>
  <c r="N652" i="2"/>
  <c r="O652" i="2"/>
  <c r="P652" i="2"/>
  <c r="Q652" i="2"/>
  <c r="C653" i="2"/>
  <c r="F653" i="2"/>
  <c r="G653" i="2"/>
  <c r="H653" i="2"/>
  <c r="I653" i="2"/>
  <c r="J653" i="2"/>
  <c r="K653" i="2"/>
  <c r="L653" i="2"/>
  <c r="M653" i="2"/>
  <c r="N653" i="2"/>
  <c r="O653" i="2"/>
  <c r="P653" i="2"/>
  <c r="Q653" i="2"/>
  <c r="C654" i="2"/>
  <c r="F654" i="2"/>
  <c r="G654" i="2"/>
  <c r="H654" i="2"/>
  <c r="I654" i="2"/>
  <c r="J654" i="2"/>
  <c r="K654" i="2"/>
  <c r="L654" i="2"/>
  <c r="M654" i="2"/>
  <c r="N654" i="2"/>
  <c r="O654" i="2"/>
  <c r="P654" i="2"/>
  <c r="Q654" i="2"/>
  <c r="C655" i="2"/>
  <c r="F655" i="2"/>
  <c r="G655" i="2"/>
  <c r="H655" i="2"/>
  <c r="I655" i="2"/>
  <c r="J655" i="2"/>
  <c r="K655" i="2"/>
  <c r="L655" i="2"/>
  <c r="M655" i="2"/>
  <c r="N655" i="2"/>
  <c r="O655" i="2"/>
  <c r="P655" i="2"/>
  <c r="Q655" i="2"/>
  <c r="C657" i="2"/>
  <c r="F657" i="2"/>
  <c r="G657" i="2"/>
  <c r="H657" i="2"/>
  <c r="I657" i="2"/>
  <c r="J657" i="2"/>
  <c r="K657" i="2"/>
  <c r="L657" i="2"/>
  <c r="M657" i="2"/>
  <c r="N657" i="2"/>
  <c r="O657" i="2"/>
  <c r="P657" i="2"/>
  <c r="Q657" i="2"/>
  <c r="C658" i="2"/>
  <c r="F658" i="2"/>
  <c r="G658" i="2"/>
  <c r="H658" i="2"/>
  <c r="I658" i="2"/>
  <c r="J658" i="2"/>
  <c r="K658" i="2"/>
  <c r="L658" i="2"/>
  <c r="M658" i="2"/>
  <c r="N658" i="2"/>
  <c r="O658" i="2"/>
  <c r="P658" i="2"/>
  <c r="Q658" i="2"/>
  <c r="C659" i="2"/>
  <c r="F659" i="2"/>
  <c r="G659" i="2"/>
  <c r="H659" i="2"/>
  <c r="Q659" i="2"/>
  <c r="C660" i="2"/>
  <c r="F660" i="2"/>
  <c r="G660" i="2"/>
  <c r="H660" i="2"/>
  <c r="I660" i="2"/>
  <c r="J660" i="2"/>
  <c r="K660" i="2"/>
  <c r="L660" i="2"/>
  <c r="M660" i="2"/>
  <c r="N660" i="2"/>
  <c r="O660" i="2"/>
  <c r="P660" i="2"/>
  <c r="Q660" i="2"/>
  <c r="C661" i="2"/>
  <c r="F661" i="2"/>
  <c r="G661" i="2"/>
  <c r="H661" i="2"/>
  <c r="I661" i="2"/>
  <c r="J661" i="2"/>
  <c r="K661" i="2"/>
  <c r="L661" i="2"/>
  <c r="M661" i="2"/>
  <c r="N661" i="2"/>
  <c r="O661" i="2"/>
  <c r="P661" i="2"/>
  <c r="Q661" i="2"/>
  <c r="C662" i="2"/>
  <c r="F662" i="2"/>
  <c r="G662" i="2"/>
  <c r="H662" i="2"/>
  <c r="I662" i="2"/>
  <c r="J662" i="2"/>
  <c r="K662" i="2"/>
  <c r="L662" i="2"/>
  <c r="M662" i="2"/>
  <c r="N662" i="2"/>
  <c r="O662" i="2"/>
  <c r="P662" i="2"/>
  <c r="Q662" i="2"/>
  <c r="C663" i="2"/>
  <c r="F663" i="2"/>
  <c r="G663" i="2"/>
  <c r="H663" i="2"/>
  <c r="I663" i="2"/>
  <c r="J663" i="2"/>
  <c r="K663" i="2"/>
  <c r="L663" i="2"/>
  <c r="M663" i="2"/>
  <c r="N663" i="2"/>
  <c r="O663" i="2"/>
  <c r="P663" i="2"/>
  <c r="Q663" i="2"/>
  <c r="C664" i="2"/>
  <c r="F664" i="2"/>
  <c r="G664" i="2"/>
  <c r="H664" i="2"/>
  <c r="I664" i="2"/>
  <c r="J664" i="2"/>
  <c r="K664" i="2"/>
  <c r="L664" i="2"/>
  <c r="M664" i="2"/>
  <c r="N664" i="2"/>
  <c r="O664" i="2"/>
  <c r="P664" i="2"/>
  <c r="Q664" i="2"/>
  <c r="C665" i="2"/>
  <c r="F665" i="2"/>
  <c r="G665" i="2"/>
  <c r="H665" i="2"/>
  <c r="I665" i="2"/>
  <c r="J665" i="2"/>
  <c r="K665" i="2"/>
  <c r="L665" i="2"/>
  <c r="M665" i="2"/>
  <c r="N665" i="2"/>
  <c r="O665" i="2"/>
  <c r="P665" i="2"/>
  <c r="Q665" i="2"/>
  <c r="C666" i="2"/>
  <c r="F666" i="2"/>
  <c r="G666" i="2"/>
  <c r="H666" i="2"/>
  <c r="I666" i="2"/>
  <c r="J666" i="2"/>
  <c r="K666" i="2"/>
  <c r="L666" i="2"/>
  <c r="M666" i="2"/>
  <c r="N666" i="2"/>
  <c r="O666" i="2"/>
  <c r="P666" i="2"/>
  <c r="Q666" i="2"/>
  <c r="F667" i="2"/>
  <c r="G667" i="2"/>
  <c r="F668" i="2"/>
  <c r="C670" i="2"/>
  <c r="G670" i="2"/>
  <c r="C671" i="2"/>
  <c r="G671" i="2"/>
  <c r="C672" i="2"/>
  <c r="G672" i="2"/>
  <c r="G673" i="2"/>
  <c r="F674" i="2"/>
  <c r="G674" i="2"/>
  <c r="G677" i="2"/>
  <c r="C678" i="2"/>
  <c r="B680" i="2"/>
  <c r="B681" i="2"/>
  <c r="G681" i="2"/>
  <c r="G682" i="2" s="1"/>
  <c r="B682" i="2"/>
  <c r="G683" i="2"/>
  <c r="H683" i="2"/>
  <c r="I683" i="2"/>
  <c r="J683" i="2"/>
  <c r="K683" i="2"/>
  <c r="L683" i="2"/>
  <c r="M683" i="2"/>
  <c r="N683" i="2"/>
  <c r="O683" i="2"/>
  <c r="P683" i="2"/>
  <c r="Q683" i="2"/>
  <c r="F810" i="2"/>
  <c r="F696" i="2"/>
  <c r="G690" i="2"/>
  <c r="C691" i="2"/>
  <c r="G700" i="2"/>
  <c r="H700" i="2"/>
  <c r="I700" i="2"/>
  <c r="J700" i="2"/>
  <c r="K700" i="2"/>
  <c r="L700" i="2"/>
  <c r="M700" i="2"/>
  <c r="N700" i="2"/>
  <c r="O700" i="2"/>
  <c r="P700" i="2"/>
  <c r="Q700" i="2"/>
  <c r="G701" i="2"/>
  <c r="F708" i="2"/>
  <c r="B713" i="2"/>
  <c r="F713" i="2"/>
  <c r="G713" i="2"/>
  <c r="H713" i="2"/>
  <c r="I713" i="2"/>
  <c r="J713" i="2"/>
  <c r="K713" i="2"/>
  <c r="M713" i="2"/>
  <c r="N713" i="2"/>
  <c r="O713" i="2"/>
  <c r="P713" i="2"/>
  <c r="F714" i="2"/>
  <c r="H714" i="2"/>
  <c r="I714" i="2"/>
  <c r="J714" i="2"/>
  <c r="L714" i="2"/>
  <c r="M714" i="2"/>
  <c r="N714" i="2"/>
  <c r="O714" i="2"/>
  <c r="P714" i="2"/>
  <c r="F780" i="2"/>
  <c r="F773" i="2" s="1"/>
  <c r="C772" i="2"/>
  <c r="C780" i="2"/>
  <c r="F817" i="2"/>
  <c r="F820" i="2"/>
  <c r="G808" i="2"/>
  <c r="H808" i="2" s="1"/>
  <c r="I808" i="2" s="1"/>
  <c r="J808" i="2" s="1"/>
  <c r="K808" i="2" s="1"/>
  <c r="L808" i="2" s="1"/>
  <c r="M808" i="2" s="1"/>
  <c r="N808" i="2" s="1"/>
  <c r="O808" i="2" s="1"/>
  <c r="P808" i="2" s="1"/>
  <c r="Q808" i="2" s="1"/>
  <c r="G812" i="2"/>
  <c r="H812" i="2" s="1"/>
  <c r="I812" i="2" s="1"/>
  <c r="J812" i="2" s="1"/>
  <c r="K812" i="2" s="1"/>
  <c r="L812" i="2" s="1"/>
  <c r="M812" i="2" s="1"/>
  <c r="N812" i="2" s="1"/>
  <c r="O812" i="2" s="1"/>
  <c r="P812" i="2" s="1"/>
  <c r="Q812" i="2" s="1"/>
  <c r="G814" i="2"/>
  <c r="H814" i="2" s="1"/>
  <c r="I814" i="2" s="1"/>
  <c r="J814" i="2" s="1"/>
  <c r="K814" i="2" s="1"/>
  <c r="L814" i="2" s="1"/>
  <c r="M814" i="2" s="1"/>
  <c r="N814" i="2" s="1"/>
  <c r="O814" i="2" s="1"/>
  <c r="P814" i="2" s="1"/>
  <c r="Q814" i="2" s="1"/>
  <c r="G818" i="2"/>
  <c r="H818" i="2" s="1"/>
  <c r="I818" i="2" s="1"/>
  <c r="G825" i="2"/>
  <c r="H825" i="2"/>
  <c r="I825" i="2"/>
  <c r="J825" i="2"/>
  <c r="K825" i="2"/>
  <c r="L825" i="2"/>
  <c r="M825" i="2"/>
  <c r="N825" i="2"/>
  <c r="P825" i="2"/>
  <c r="Q832" i="2"/>
  <c r="Q1076" i="2"/>
  <c r="Q834" i="2" s="1"/>
  <c r="B840" i="2"/>
  <c r="A842" i="2"/>
  <c r="A844" i="2"/>
  <c r="A846" i="2"/>
  <c r="F846" i="2"/>
  <c r="G846" i="2"/>
  <c r="H846" i="2"/>
  <c r="I846" i="2"/>
  <c r="J846" i="2"/>
  <c r="K846" i="2"/>
  <c r="M846" i="2"/>
  <c r="N846" i="2"/>
  <c r="O846" i="2"/>
  <c r="P846" i="2"/>
  <c r="A847" i="2"/>
  <c r="F847" i="2"/>
  <c r="H847" i="2"/>
  <c r="I847" i="2"/>
  <c r="J847" i="2"/>
  <c r="L847" i="2"/>
  <c r="M847" i="2"/>
  <c r="N847" i="2"/>
  <c r="O847" i="2"/>
  <c r="P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G911" i="2"/>
  <c r="H911" i="2"/>
  <c r="I911" i="2"/>
  <c r="J911" i="2"/>
  <c r="K911" i="2"/>
  <c r="L911" i="2"/>
  <c r="M911" i="2"/>
  <c r="N911" i="2"/>
  <c r="O911" i="2"/>
  <c r="P911" i="2"/>
  <c r="Q911" i="2"/>
  <c r="G912" i="2"/>
  <c r="H912" i="2"/>
  <c r="I912" i="2"/>
  <c r="J912" i="2"/>
  <c r="K912" i="2"/>
  <c r="L912" i="2"/>
  <c r="M912" i="2"/>
  <c r="N912" i="2"/>
  <c r="O912" i="2"/>
  <c r="P912" i="2"/>
  <c r="Q912" i="2"/>
  <c r="G913" i="2"/>
  <c r="H913" i="2"/>
  <c r="I913" i="2"/>
  <c r="J913" i="2"/>
  <c r="K913" i="2"/>
  <c r="L913" i="2"/>
  <c r="M913" i="2"/>
  <c r="N913" i="2"/>
  <c r="O913" i="2"/>
  <c r="P913" i="2"/>
  <c r="Q913" i="2"/>
  <c r="G914" i="2"/>
  <c r="H914" i="2"/>
  <c r="I914" i="2"/>
  <c r="J914" i="2"/>
  <c r="K914" i="2"/>
  <c r="L914" i="2"/>
  <c r="M914" i="2"/>
  <c r="N914" i="2"/>
  <c r="O914" i="2"/>
  <c r="P914" i="2"/>
  <c r="Q914" i="2"/>
  <c r="G915" i="2"/>
  <c r="H915" i="2"/>
  <c r="I915" i="2"/>
  <c r="J915" i="2"/>
  <c r="K915" i="2"/>
  <c r="L915" i="2"/>
  <c r="M915" i="2"/>
  <c r="N915" i="2"/>
  <c r="O915" i="2"/>
  <c r="P915" i="2"/>
  <c r="Q915" i="2"/>
  <c r="G931" i="2"/>
  <c r="H931" i="2"/>
  <c r="I931" i="2"/>
  <c r="J931" i="2"/>
  <c r="K931" i="2"/>
  <c r="L931" i="2"/>
  <c r="M931" i="2"/>
  <c r="N931" i="2"/>
  <c r="O931" i="2"/>
  <c r="P931" i="2"/>
  <c r="Q931" i="2"/>
  <c r="G932" i="2"/>
  <c r="H932" i="2"/>
  <c r="I932" i="2"/>
  <c r="J932" i="2"/>
  <c r="K932" i="2"/>
  <c r="L932" i="2"/>
  <c r="M932" i="2"/>
  <c r="N932" i="2"/>
  <c r="O932" i="2"/>
  <c r="P932" i="2"/>
  <c r="Q932" i="2"/>
  <c r="G993" i="2"/>
  <c r="G994" i="2"/>
  <c r="G995" i="2"/>
  <c r="G996" i="2"/>
  <c r="H1021" i="2"/>
  <c r="I1021" i="2"/>
  <c r="J1021" i="2"/>
  <c r="K1021" i="2"/>
  <c r="G1041" i="2"/>
  <c r="D1045" i="2"/>
  <c r="G1063" i="2"/>
  <c r="D1046" i="2"/>
  <c r="D1048" i="2"/>
  <c r="D1049" i="2"/>
  <c r="D1056" i="2"/>
  <c r="D1051" i="2"/>
  <c r="D1229" i="2"/>
  <c r="D1057" i="2"/>
  <c r="D1052" i="2"/>
  <c r="D1230" i="2"/>
  <c r="D1059" i="2"/>
  <c r="D1054" i="2"/>
  <c r="D1231" i="2"/>
  <c r="D1060" i="2"/>
  <c r="D1055" i="2"/>
  <c r="D1232" i="2"/>
  <c r="D1058" i="2"/>
  <c r="G1061" i="2"/>
  <c r="G1062" i="2" s="1"/>
  <c r="H1061" i="2"/>
  <c r="H1062" i="2" s="1"/>
  <c r="I1061" i="2"/>
  <c r="I1062" i="2" s="1"/>
  <c r="J1061" i="2"/>
  <c r="J1062" i="2" s="1"/>
  <c r="K1061" i="2"/>
  <c r="K1062" i="2" s="1"/>
  <c r="L1061" i="2"/>
  <c r="L1062" i="2" s="1"/>
  <c r="M1061" i="2"/>
  <c r="M1062" i="2" s="1"/>
  <c r="N1061" i="2"/>
  <c r="N1062" i="2" s="1"/>
  <c r="O1061" i="2"/>
  <c r="O1062" i="2" s="1"/>
  <c r="P1061" i="2"/>
  <c r="P1062" i="2" s="1"/>
  <c r="Q1061" i="2"/>
  <c r="Q1062" i="2" s="1"/>
  <c r="G1066" i="2"/>
  <c r="H1068" i="2"/>
  <c r="I1068" i="2"/>
  <c r="J1068" i="2"/>
  <c r="H1075" i="2"/>
  <c r="I1075" i="2" s="1"/>
  <c r="J1075" i="2" s="1"/>
  <c r="K1075" i="2" s="1"/>
  <c r="L1075" i="2" s="1"/>
  <c r="M1075" i="2" s="1"/>
  <c r="N1075" i="2" s="1"/>
  <c r="O1075" i="2" s="1"/>
  <c r="P1075" i="2" s="1"/>
  <c r="Q1075" i="2" s="1"/>
  <c r="Q1068" i="2" s="1"/>
  <c r="G1069" i="2"/>
  <c r="G1072" i="2" s="1"/>
  <c r="G1083" i="2"/>
  <c r="G1107" i="2"/>
  <c r="H1107" i="2"/>
  <c r="I1107" i="2"/>
  <c r="J1107" i="2"/>
  <c r="K1107" i="2"/>
  <c r="L1107" i="2"/>
  <c r="M1107" i="2"/>
  <c r="N1107" i="2"/>
  <c r="O1107" i="2"/>
  <c r="P1107" i="2"/>
  <c r="Q1107" i="2"/>
  <c r="G1140" i="2"/>
  <c r="G1205" i="2"/>
  <c r="G1206" i="2" s="1"/>
  <c r="H1205" i="2"/>
  <c r="H1206" i="2" s="1"/>
  <c r="I1205" i="2"/>
  <c r="I1206" i="2" s="1"/>
  <c r="J1205" i="2"/>
  <c r="J1206" i="2" s="1"/>
  <c r="K1205" i="2"/>
  <c r="K1206" i="2" s="1"/>
  <c r="L1205" i="2"/>
  <c r="L1206" i="2" s="1"/>
  <c r="M1205" i="2"/>
  <c r="M1206" i="2" s="1"/>
  <c r="N1205" i="2"/>
  <c r="N1206" i="2" s="1"/>
  <c r="O1205" i="2"/>
  <c r="O1206" i="2" s="1"/>
  <c r="P1205" i="2"/>
  <c r="P1206" i="2" s="1"/>
  <c r="Q1205" i="2"/>
  <c r="Q1206" i="2" s="1"/>
  <c r="G1212" i="2"/>
  <c r="G1223" i="2" s="1"/>
  <c r="G1227" i="2" s="1"/>
  <c r="G1217" i="2"/>
  <c r="G1214" i="2" s="1"/>
  <c r="G1216" i="2"/>
  <c r="G1218" i="2"/>
  <c r="G1219" i="2"/>
  <c r="H1219" i="2"/>
  <c r="G1220" i="2"/>
  <c r="H1220" i="2"/>
  <c r="I1220" i="2"/>
  <c r="J1220" i="2"/>
  <c r="G1224" i="2"/>
  <c r="G1221" i="2" s="1"/>
  <c r="G1235" i="2"/>
  <c r="H1235" i="2"/>
  <c r="I1235" i="2"/>
  <c r="J1235" i="2"/>
  <c r="K1235" i="2"/>
  <c r="L1235" i="2"/>
  <c r="M1235" i="2"/>
  <c r="N1235" i="2"/>
  <c r="O1235" i="2"/>
  <c r="P1235" i="2"/>
  <c r="G23" i="7"/>
  <c r="N14" i="56"/>
  <c r="M14" i="56"/>
  <c r="B13" i="56"/>
  <c r="E12" i="54"/>
  <c r="H823" i="2" l="1"/>
  <c r="I823" i="2" s="1"/>
  <c r="J823" i="2" s="1"/>
  <c r="K823" i="2" s="1"/>
  <c r="L823" i="2" s="1"/>
  <c r="M823" i="2" s="1"/>
  <c r="N823" i="2" s="1"/>
  <c r="O823" i="2" s="1"/>
  <c r="P823" i="2" s="1"/>
  <c r="A5" i="8"/>
  <c r="J1216" i="2"/>
  <c r="J1212" i="2"/>
  <c r="J1223" i="2" s="1"/>
  <c r="J1227" i="2" s="1"/>
  <c r="J1041" i="2"/>
  <c r="A54" i="8"/>
  <c r="O1212" i="2"/>
  <c r="O1223" i="2" s="1"/>
  <c r="O1227" i="2" s="1"/>
  <c r="O1041" i="2"/>
  <c r="O1216" i="2"/>
  <c r="I492" i="2"/>
  <c r="P335" i="2"/>
  <c r="O335" i="2"/>
  <c r="Q573" i="2"/>
  <c r="G675" i="2"/>
  <c r="C104" i="2"/>
  <c r="P674" i="2"/>
  <c r="C294" i="2"/>
  <c r="F6" i="2"/>
  <c r="G489" i="2" s="1"/>
  <c r="Q569" i="2"/>
  <c r="I12" i="2"/>
  <c r="C194" i="2"/>
  <c r="C164" i="2"/>
  <c r="Q623" i="2"/>
  <c r="Q824" i="2" s="1"/>
  <c r="C54" i="2"/>
  <c r="C24" i="2"/>
  <c r="C304" i="2"/>
  <c r="C274" i="2"/>
  <c r="C244" i="2"/>
  <c r="K319" i="2"/>
  <c r="Q1" i="54"/>
  <c r="A4" i="8"/>
  <c r="I1041" i="2"/>
  <c r="I1212" i="2"/>
  <c r="I1223" i="2" s="1"/>
  <c r="I1227" i="2" s="1"/>
  <c r="I1216" i="2"/>
  <c r="G1045" i="2"/>
  <c r="G1141" i="2"/>
  <c r="D7" i="2"/>
  <c r="H456" i="2"/>
  <c r="H461" i="2" s="1"/>
  <c r="N544" i="2"/>
  <c r="G492" i="2"/>
  <c r="G493" i="2" s="1"/>
  <c r="G491" i="2" s="1"/>
  <c r="E36" i="8"/>
  <c r="C144" i="2"/>
  <c r="M462" i="2"/>
  <c r="H749" i="2"/>
  <c r="H747" i="2" s="1"/>
  <c r="A66" i="8"/>
  <c r="P1041" i="2"/>
  <c r="P1212" i="2"/>
  <c r="P1223" i="2" s="1"/>
  <c r="P1227" i="2" s="1"/>
  <c r="P1216" i="2"/>
  <c r="A3" i="8"/>
  <c r="H1212" i="2"/>
  <c r="H1223" i="2" s="1"/>
  <c r="H1227" i="2" s="1"/>
  <c r="H1216" i="2"/>
  <c r="H1041" i="2"/>
  <c r="A30" i="8"/>
  <c r="M1216" i="2"/>
  <c r="M1212" i="2"/>
  <c r="M1223" i="2" s="1"/>
  <c r="M1227" i="2" s="1"/>
  <c r="M1041" i="2"/>
  <c r="F459" i="2"/>
  <c r="F645" i="2" s="1"/>
  <c r="C264" i="2"/>
  <c r="C154" i="2"/>
  <c r="C124" i="2"/>
  <c r="P11" i="2"/>
  <c r="Q475" i="2"/>
  <c r="Q656" i="2" s="1"/>
  <c r="Q456" i="2"/>
  <c r="H492" i="2"/>
  <c r="J674" i="2"/>
  <c r="C314" i="2"/>
  <c r="C234" i="2"/>
  <c r="C204" i="2"/>
  <c r="C94" i="2"/>
  <c r="C64" i="2"/>
  <c r="F456" i="2"/>
  <c r="F558" i="2" s="1"/>
  <c r="M667" i="2"/>
  <c r="J544" i="2"/>
  <c r="C284" i="2"/>
  <c r="C174" i="2"/>
  <c r="P497" i="2"/>
  <c r="H667" i="2"/>
  <c r="L674" i="2"/>
  <c r="J667" i="2"/>
  <c r="H497" i="2"/>
  <c r="H475" i="2"/>
  <c r="H656" i="2" s="1"/>
  <c r="F24" i="8"/>
  <c r="F598" i="2"/>
  <c r="O544" i="2"/>
  <c r="K667" i="2"/>
  <c r="F48" i="8"/>
  <c r="L501" i="2"/>
  <c r="L431" i="2"/>
  <c r="F584" i="2"/>
  <c r="F1" i="54"/>
  <c r="H815" i="2"/>
  <c r="I815" i="2" s="1"/>
  <c r="D720" i="2"/>
  <c r="D770" i="2"/>
  <c r="D737" i="2"/>
  <c r="F11" i="2"/>
  <c r="F335" i="2"/>
  <c r="L1212" i="2"/>
  <c r="L1223" i="2" s="1"/>
  <c r="L1227" i="2" s="1"/>
  <c r="L1041" i="2"/>
  <c r="L1216" i="2"/>
  <c r="A18" i="8"/>
  <c r="Q441" i="2"/>
  <c r="Q632" i="2"/>
  <c r="K1212" i="2"/>
  <c r="K1223" i="2" s="1"/>
  <c r="K1227" i="2" s="1"/>
  <c r="A6" i="8"/>
  <c r="K1041" i="2"/>
  <c r="K1216" i="2"/>
  <c r="I318" i="2"/>
  <c r="I675" i="2" s="1"/>
  <c r="Q223" i="2"/>
  <c r="Q221" i="2" s="1"/>
  <c r="Q222" i="2"/>
  <c r="Q227" i="2"/>
  <c r="Q225" i="2" s="1"/>
  <c r="Q226" i="2"/>
  <c r="N1068" i="2"/>
  <c r="N1041" i="2"/>
  <c r="J1022" i="2"/>
  <c r="K714" i="2"/>
  <c r="C214" i="2"/>
  <c r="C134" i="2"/>
  <c r="Q690" i="2"/>
  <c r="Q689" i="2" s="1"/>
  <c r="O431" i="2"/>
  <c r="K497" i="2"/>
  <c r="G758" i="2"/>
  <c r="G756" i="2" s="1"/>
  <c r="G755" i="2" s="1"/>
  <c r="H12" i="2"/>
  <c r="F588" i="2"/>
  <c r="F602" i="2"/>
  <c r="Q283" i="2"/>
  <c r="Q281" i="2" s="1"/>
  <c r="Q282" i="2"/>
  <c r="Q287" i="2"/>
  <c r="Q285" i="2" s="1"/>
  <c r="Q286" i="2"/>
  <c r="Q193" i="2"/>
  <c r="Q191" i="2" s="1"/>
  <c r="Q192" i="2"/>
  <c r="Q197" i="2"/>
  <c r="Q195" i="2" s="1"/>
  <c r="Q196" i="2"/>
  <c r="Q73" i="2"/>
  <c r="Q71" i="2" s="1"/>
  <c r="Q77" i="2"/>
  <c r="Q75" i="2" s="1"/>
  <c r="Q72" i="2"/>
  <c r="Q76" i="2"/>
  <c r="N1216" i="2"/>
  <c r="J1219" i="2"/>
  <c r="M1068" i="2"/>
  <c r="K847" i="2"/>
  <c r="L713" i="2"/>
  <c r="L11" i="2"/>
  <c r="M431" i="2"/>
  <c r="J318" i="2"/>
  <c r="J675" i="2" s="1"/>
  <c r="J431" i="2"/>
  <c r="F614" i="2"/>
  <c r="Q143" i="2"/>
  <c r="Q141" i="2" s="1"/>
  <c r="Q142" i="2"/>
  <c r="Q147" i="2"/>
  <c r="Q145" i="2" s="1"/>
  <c r="Q146" i="2"/>
  <c r="Q166" i="2"/>
  <c r="Q163" i="2"/>
  <c r="Q161" i="2" s="1"/>
  <c r="Q162" i="2"/>
  <c r="Q167" i="2"/>
  <c r="Q165" i="2" s="1"/>
  <c r="Q123" i="2"/>
  <c r="Q121" i="2" s="1"/>
  <c r="Q122" i="2"/>
  <c r="Q127" i="2"/>
  <c r="Q125" i="2" s="1"/>
  <c r="Q126" i="2"/>
  <c r="Q303" i="2"/>
  <c r="Q301" i="2" s="1"/>
  <c r="Q302" i="2"/>
  <c r="Q307" i="2"/>
  <c r="Q305" i="2" s="1"/>
  <c r="Q306" i="2"/>
  <c r="Q152" i="2"/>
  <c r="Q157" i="2"/>
  <c r="Q155" i="2" s="1"/>
  <c r="Q156" i="2"/>
  <c r="Q153" i="2"/>
  <c r="Q151" i="2" s="1"/>
  <c r="Q67" i="2"/>
  <c r="Q65" i="2" s="1"/>
  <c r="Q66" i="2"/>
  <c r="Q63" i="2"/>
  <c r="Q61" i="2" s="1"/>
  <c r="Q62" i="2"/>
  <c r="I1219" i="2"/>
  <c r="L1068" i="2"/>
  <c r="G430" i="2"/>
  <c r="G693" i="2" s="1"/>
  <c r="G1080" i="2" s="1"/>
  <c r="G819" i="2" s="1"/>
  <c r="G817" i="2" s="1"/>
  <c r="A42" i="8"/>
  <c r="F580" i="2"/>
  <c r="Q267" i="2"/>
  <c r="Q265" i="2" s="1"/>
  <c r="Q266" i="2"/>
  <c r="Q263" i="2"/>
  <c r="Q261" i="2" s="1"/>
  <c r="Q262" i="2"/>
  <c r="Q217" i="2"/>
  <c r="Q215" i="2" s="1"/>
  <c r="Q216" i="2"/>
  <c r="Q213" i="2"/>
  <c r="Q211" i="2" s="1"/>
  <c r="Q212" i="2"/>
  <c r="Q312" i="2"/>
  <c r="Q317" i="2"/>
  <c r="Q315" i="2" s="1"/>
  <c r="Q316" i="2"/>
  <c r="Q313" i="2"/>
  <c r="Q311" i="2" s="1"/>
  <c r="Q43" i="2"/>
  <c r="Q41" i="2" s="1"/>
  <c r="Q42" i="2"/>
  <c r="Q47" i="2"/>
  <c r="Q45" i="2" s="1"/>
  <c r="Q46" i="2"/>
  <c r="K1068" i="2"/>
  <c r="L846" i="2"/>
  <c r="I502" i="2"/>
  <c r="I501" i="2" s="1"/>
  <c r="H36" i="8"/>
  <c r="F60" i="8"/>
  <c r="F592" i="2"/>
  <c r="F606" i="2"/>
  <c r="Q56" i="2"/>
  <c r="Q57" i="2"/>
  <c r="Q55" i="2" s="1"/>
  <c r="Q53" i="2"/>
  <c r="Q51" i="2" s="1"/>
  <c r="Q52" i="2"/>
  <c r="K441" i="2"/>
  <c r="O1022" i="2" s="1"/>
  <c r="P431" i="2"/>
  <c r="N431" i="2"/>
  <c r="K318" i="2"/>
  <c r="K675" i="2" s="1"/>
  <c r="H1141" i="2"/>
  <c r="Q137" i="2"/>
  <c r="Q135" i="2" s="1"/>
  <c r="Q136" i="2"/>
  <c r="Q133" i="2"/>
  <c r="Q131" i="2" s="1"/>
  <c r="Q132" i="2"/>
  <c r="Q232" i="2"/>
  <c r="Q237" i="2"/>
  <c r="Q235" i="2" s="1"/>
  <c r="Q236" i="2"/>
  <c r="Q233" i="2"/>
  <c r="Q231" i="2" s="1"/>
  <c r="Q253" i="2"/>
  <c r="Q251" i="2" s="1"/>
  <c r="Q252" i="2"/>
  <c r="Q257" i="2"/>
  <c r="Q255" i="2" s="1"/>
  <c r="Q256" i="2"/>
  <c r="Q297" i="2"/>
  <c r="Q295" i="2" s="1"/>
  <c r="Q296" i="2"/>
  <c r="Q293" i="2"/>
  <c r="Q291" i="2" s="1"/>
  <c r="Q292" i="2"/>
  <c r="Q273" i="2"/>
  <c r="Q271" i="2" s="1"/>
  <c r="Q272" i="2"/>
  <c r="Q277" i="2"/>
  <c r="Q275" i="2" s="1"/>
  <c r="Q276" i="2"/>
  <c r="Q93" i="2"/>
  <c r="Q91" i="2" s="1"/>
  <c r="Q97" i="2"/>
  <c r="Q95" i="2" s="1"/>
  <c r="Q92" i="2"/>
  <c r="Q96" i="2"/>
  <c r="K632" i="2"/>
  <c r="K544" i="2"/>
  <c r="E24" i="8"/>
  <c r="F610" i="2"/>
  <c r="Q173" i="2"/>
  <c r="Q171" i="2" s="1"/>
  <c r="Q172" i="2"/>
  <c r="Q177" i="2"/>
  <c r="Q175" i="2" s="1"/>
  <c r="Q176" i="2"/>
  <c r="Q246" i="2"/>
  <c r="Q243" i="2"/>
  <c r="Q241" i="2" s="1"/>
  <c r="Q242" i="2"/>
  <c r="Q247" i="2"/>
  <c r="Q245" i="2" s="1"/>
  <c r="Q107" i="2"/>
  <c r="Q105" i="2" s="1"/>
  <c r="Q106" i="2"/>
  <c r="Q103" i="2"/>
  <c r="Q101" i="2" s="1"/>
  <c r="Q102" i="2"/>
  <c r="H60" i="8"/>
  <c r="Q203" i="2"/>
  <c r="Q201" i="2" s="1"/>
  <c r="Q202" i="2"/>
  <c r="Q207" i="2"/>
  <c r="Q205" i="2" s="1"/>
  <c r="Q206" i="2"/>
  <c r="P1068" i="2"/>
  <c r="G1139" i="2"/>
  <c r="O1068" i="2"/>
  <c r="Q621" i="2"/>
  <c r="Q823" i="2" s="1"/>
  <c r="L544" i="2"/>
  <c r="K501" i="2"/>
  <c r="I598" i="2"/>
  <c r="J598" i="2" s="1"/>
  <c r="F12" i="8"/>
  <c r="H12" i="8" s="1"/>
  <c r="Q187" i="2"/>
  <c r="Q185" i="2" s="1"/>
  <c r="Q186" i="2"/>
  <c r="Q183" i="2"/>
  <c r="Q181" i="2" s="1"/>
  <c r="Q182" i="2"/>
  <c r="Q86" i="2"/>
  <c r="Q83" i="2"/>
  <c r="Q81" i="2" s="1"/>
  <c r="Q87" i="2"/>
  <c r="Q85" i="2" s="1"/>
  <c r="Q82" i="2"/>
  <c r="L622" i="2"/>
  <c r="N622" i="2"/>
  <c r="G570" i="2"/>
  <c r="K622" i="2"/>
  <c r="Q1141" i="2"/>
  <c r="J622" i="2"/>
  <c r="G618" i="2"/>
  <c r="G566" i="2"/>
  <c r="Q1087" i="2"/>
  <c r="H429" i="2"/>
  <c r="I429" i="2" s="1"/>
  <c r="H1025" i="2"/>
  <c r="F579" i="2"/>
  <c r="F596" i="2" s="1"/>
  <c r="F671" i="2" s="1"/>
  <c r="G622" i="2"/>
  <c r="G747" i="2"/>
  <c r="O622" i="2"/>
  <c r="H766" i="2"/>
  <c r="I766" i="2" s="1"/>
  <c r="G774" i="2"/>
  <c r="M1025" i="2"/>
  <c r="H1017" i="2"/>
  <c r="G1024" i="2"/>
  <c r="H777" i="2"/>
  <c r="I777" i="2" s="1"/>
  <c r="J777" i="2" s="1"/>
  <c r="K777" i="2" s="1"/>
  <c r="L777" i="2" s="1"/>
  <c r="M777" i="2" s="1"/>
  <c r="N777" i="2" s="1"/>
  <c r="O777" i="2" s="1"/>
  <c r="P777" i="2" s="1"/>
  <c r="G740" i="2"/>
  <c r="G739" i="2" s="1"/>
  <c r="F601" i="2"/>
  <c r="G347" i="2"/>
  <c r="Q847" i="2"/>
  <c r="F549" i="2"/>
  <c r="F574" i="2" s="1"/>
  <c r="Q544" i="2"/>
  <c r="G736" i="2"/>
  <c r="G735" i="2" s="1"/>
  <c r="H762" i="2"/>
  <c r="H760" i="2" s="1"/>
  <c r="Q714" i="2"/>
  <c r="H770" i="2"/>
  <c r="H768" i="2" s="1"/>
  <c r="K1025" i="2"/>
  <c r="H753" i="2"/>
  <c r="H751" i="2" s="1"/>
  <c r="H732" i="2"/>
  <c r="I732" i="2" s="1"/>
  <c r="L398" i="2"/>
  <c r="P410" i="2"/>
  <c r="O398" i="2"/>
  <c r="J404" i="2"/>
  <c r="H48" i="8"/>
  <c r="M622" i="2"/>
  <c r="M410" i="2"/>
  <c r="M386" i="2"/>
  <c r="E60" i="8"/>
  <c r="E12" i="8"/>
  <c r="G821" i="2"/>
  <c r="H622" i="2"/>
  <c r="H581" i="2"/>
  <c r="I581" i="2" s="1"/>
  <c r="J581" i="2" s="1"/>
  <c r="K581" i="2" s="1"/>
  <c r="L581" i="2" s="1"/>
  <c r="M581" i="2" s="1"/>
  <c r="N581" i="2" s="1"/>
  <c r="O581" i="2" s="1"/>
  <c r="P581" i="2" s="1"/>
  <c r="Q583" i="2" s="1"/>
  <c r="Q581" i="2" s="1"/>
  <c r="P423" i="2"/>
  <c r="I407" i="2"/>
  <c r="G322" i="2"/>
  <c r="H24" i="8"/>
  <c r="H603" i="2"/>
  <c r="I603" i="2" s="1"/>
  <c r="J603" i="2" s="1"/>
  <c r="K603" i="2" s="1"/>
  <c r="L603" i="2" s="1"/>
  <c r="M603" i="2" s="1"/>
  <c r="N603" i="2" s="1"/>
  <c r="O603" i="2" s="1"/>
  <c r="P603" i="2" s="1"/>
  <c r="Q605" i="2" s="1"/>
  <c r="H423" i="2"/>
  <c r="E48" i="8"/>
  <c r="H559" i="2"/>
  <c r="I559" i="2" s="1"/>
  <c r="J559" i="2" s="1"/>
  <c r="K559" i="2" s="1"/>
  <c r="L559" i="2" s="1"/>
  <c r="M559" i="2" s="1"/>
  <c r="N559" i="2" s="1"/>
  <c r="O559" i="2" s="1"/>
  <c r="P559" i="2" s="1"/>
  <c r="Q561" i="2" s="1"/>
  <c r="Q559" i="2" s="1"/>
  <c r="H563" i="2"/>
  <c r="I563" i="2" s="1"/>
  <c r="J563" i="2" s="1"/>
  <c r="K563" i="2" s="1"/>
  <c r="L563" i="2" s="1"/>
  <c r="M563" i="2" s="1"/>
  <c r="N563" i="2" s="1"/>
  <c r="O563" i="2" s="1"/>
  <c r="P563" i="2" s="1"/>
  <c r="Q565" i="2" s="1"/>
  <c r="Q563" i="2" s="1"/>
  <c r="F626" i="2"/>
  <c r="F625" i="2" s="1"/>
  <c r="F669" i="2" s="1"/>
  <c r="J423" i="2"/>
  <c r="N386" i="2"/>
  <c r="J398" i="2"/>
  <c r="H737" i="2"/>
  <c r="I737" i="2" s="1"/>
  <c r="J737" i="2" s="1"/>
  <c r="H728" i="2"/>
  <c r="H726" i="2" s="1"/>
  <c r="J392" i="2"/>
  <c r="J1025" i="2"/>
  <c r="J386" i="2"/>
  <c r="I1025" i="2"/>
  <c r="F816" i="2"/>
  <c r="F827" i="2" s="1"/>
  <c r="F809" i="2" s="1"/>
  <c r="P1025" i="2"/>
  <c r="N416" i="2"/>
  <c r="K404" i="2"/>
  <c r="H386" i="2"/>
  <c r="N407" i="2"/>
  <c r="K395" i="2"/>
  <c r="G419" i="2"/>
  <c r="G421" i="2" s="1"/>
  <c r="G793" i="2" s="1"/>
  <c r="N1025" i="2"/>
  <c r="N404" i="2"/>
  <c r="J410" i="2"/>
  <c r="G395" i="2"/>
  <c r="G397" i="2" s="1"/>
  <c r="G785" i="2" s="1"/>
  <c r="N392" i="2"/>
  <c r="I622" i="2"/>
  <c r="H589" i="2"/>
  <c r="I589" i="2" s="1"/>
  <c r="J589" i="2" s="1"/>
  <c r="K589" i="2" s="1"/>
  <c r="L589" i="2" s="1"/>
  <c r="M589" i="2" s="1"/>
  <c r="N589" i="2" s="1"/>
  <c r="O589" i="2" s="1"/>
  <c r="P589" i="2" s="1"/>
  <c r="Q591" i="2" s="1"/>
  <c r="Q589" i="2" s="1"/>
  <c r="H551" i="2"/>
  <c r="I551" i="2" s="1"/>
  <c r="J551" i="2" s="1"/>
  <c r="K551" i="2" s="1"/>
  <c r="L551" i="2" s="1"/>
  <c r="M551" i="2" s="1"/>
  <c r="N551" i="2" s="1"/>
  <c r="O551" i="2" s="1"/>
  <c r="P551" i="2" s="1"/>
  <c r="Q553" i="2" s="1"/>
  <c r="Q551" i="2" s="1"/>
  <c r="O404" i="2"/>
  <c r="N413" i="2"/>
  <c r="L413" i="2"/>
  <c r="J419" i="2"/>
  <c r="H398" i="2"/>
  <c r="G401" i="2"/>
  <c r="G403" i="2" s="1"/>
  <c r="H403" i="2" s="1"/>
  <c r="H787" i="2" s="1"/>
  <c r="G346" i="2"/>
  <c r="H340" i="2"/>
  <c r="H745" i="2"/>
  <c r="H724" i="2"/>
  <c r="H615" i="2"/>
  <c r="I615" i="2" s="1"/>
  <c r="J615" i="2" s="1"/>
  <c r="K615" i="2" s="1"/>
  <c r="L615" i="2" s="1"/>
  <c r="M615" i="2" s="1"/>
  <c r="N615" i="2" s="1"/>
  <c r="O615" i="2" s="1"/>
  <c r="P615" i="2" s="1"/>
  <c r="Q617" i="2" s="1"/>
  <c r="Q615" i="2" s="1"/>
  <c r="O401" i="2"/>
  <c r="L410" i="2"/>
  <c r="G398" i="2"/>
  <c r="G400" i="2" s="1"/>
  <c r="G786" i="2" s="1"/>
  <c r="I1139" i="2"/>
  <c r="H555" i="2"/>
  <c r="I555" i="2" s="1"/>
  <c r="J555" i="2" s="1"/>
  <c r="K555" i="2" s="1"/>
  <c r="L555" i="2" s="1"/>
  <c r="M555" i="2" s="1"/>
  <c r="N555" i="2" s="1"/>
  <c r="O555" i="2" s="1"/>
  <c r="P555" i="2" s="1"/>
  <c r="Q557" i="2" s="1"/>
  <c r="F717" i="2"/>
  <c r="O423" i="2"/>
  <c r="O419" i="2"/>
  <c r="O395" i="2"/>
  <c r="K419" i="2"/>
  <c r="G416" i="2"/>
  <c r="G418" i="2" s="1"/>
  <c r="G792" i="2" s="1"/>
  <c r="G392" i="2"/>
  <c r="G394" i="2" s="1"/>
  <c r="G784" i="2" s="1"/>
  <c r="F621" i="2"/>
  <c r="L423" i="2"/>
  <c r="G406" i="2"/>
  <c r="G788" i="2" s="1"/>
  <c r="O416" i="2"/>
  <c r="O392" i="2"/>
  <c r="N389" i="2"/>
  <c r="K413" i="2"/>
  <c r="J395" i="2"/>
  <c r="G413" i="2"/>
  <c r="G415" i="2" s="1"/>
  <c r="G791" i="2" s="1"/>
  <c r="G389" i="2"/>
  <c r="G391" i="2" s="1"/>
  <c r="G783" i="2" s="1"/>
  <c r="O1025" i="2"/>
  <c r="O413" i="2"/>
  <c r="O389" i="2"/>
  <c r="G410" i="2"/>
  <c r="G412" i="2" s="1"/>
  <c r="G790" i="2" s="1"/>
  <c r="G386" i="2"/>
  <c r="G388" i="2" s="1"/>
  <c r="G782" i="2" s="1"/>
  <c r="H634" i="2"/>
  <c r="O410" i="2"/>
  <c r="O386" i="2"/>
  <c r="G407" i="2"/>
  <c r="G409" i="2" s="1"/>
  <c r="G789" i="2" s="1"/>
  <c r="G423" i="2"/>
  <c r="G426" i="2" s="1"/>
  <c r="L1025" i="2"/>
  <c r="K386" i="2"/>
  <c r="Q6" i="2"/>
  <c r="Q1235" i="2" s="1"/>
  <c r="H566" i="2"/>
  <c r="I776" i="2"/>
  <c r="I778" i="2"/>
  <c r="H570" i="2"/>
  <c r="H736" i="2"/>
  <c r="I822" i="2"/>
  <c r="H618" i="2"/>
  <c r="H322" i="2"/>
  <c r="H740" i="2"/>
  <c r="H585" i="2"/>
  <c r="I585" i="2" s="1"/>
  <c r="J585" i="2" s="1"/>
  <c r="K585" i="2" s="1"/>
  <c r="L585" i="2" s="1"/>
  <c r="M585" i="2" s="1"/>
  <c r="N585" i="2" s="1"/>
  <c r="O585" i="2" s="1"/>
  <c r="P585" i="2" s="1"/>
  <c r="Q587" i="2" s="1"/>
  <c r="M419" i="2"/>
  <c r="M395" i="2"/>
  <c r="H741" i="2"/>
  <c r="I741" i="2" s="1"/>
  <c r="J741" i="2" s="1"/>
  <c r="H720" i="2"/>
  <c r="G1025" i="2"/>
  <c r="H611" i="2"/>
  <c r="I611" i="2" s="1"/>
  <c r="J611" i="2" s="1"/>
  <c r="K611" i="2" s="1"/>
  <c r="L611" i="2" s="1"/>
  <c r="M611" i="2" s="1"/>
  <c r="N611" i="2" s="1"/>
  <c r="O611" i="2" s="1"/>
  <c r="P611" i="2" s="1"/>
  <c r="Q613" i="2" s="1"/>
  <c r="Q611" i="2" s="1"/>
  <c r="N423" i="2"/>
  <c r="P401" i="2"/>
  <c r="N410" i="2"/>
  <c r="M416" i="2"/>
  <c r="M392" i="2"/>
  <c r="K410" i="2"/>
  <c r="J416" i="2"/>
  <c r="I419" i="2"/>
  <c r="G1017" i="2"/>
  <c r="F689" i="2"/>
  <c r="F686" i="2" s="1"/>
  <c r="F755" i="2"/>
  <c r="H831" i="2"/>
  <c r="I831" i="2" s="1"/>
  <c r="J831" i="2" s="1"/>
  <c r="K831" i="2" s="1"/>
  <c r="L831" i="2" s="1"/>
  <c r="M831" i="2" s="1"/>
  <c r="N831" i="2" s="1"/>
  <c r="O831" i="2" s="1"/>
  <c r="P831" i="2" s="1"/>
  <c r="Q831" i="2" s="1"/>
  <c r="M423" i="2"/>
  <c r="M413" i="2"/>
  <c r="M389" i="2"/>
  <c r="K407" i="2"/>
  <c r="I410" i="2"/>
  <c r="J1139" i="2"/>
  <c r="J493" i="2" s="1"/>
  <c r="J491" i="2" s="1"/>
  <c r="G687" i="2"/>
  <c r="G1046" i="2"/>
  <c r="K423" i="2"/>
  <c r="N398" i="2"/>
  <c r="M407" i="2"/>
  <c r="K401" i="2"/>
  <c r="I395" i="2"/>
  <c r="H1139" i="2"/>
  <c r="M404" i="2"/>
  <c r="H410" i="2"/>
  <c r="H607" i="2"/>
  <c r="I607" i="2" s="1"/>
  <c r="J607" i="2" s="1"/>
  <c r="K607" i="2" s="1"/>
  <c r="L607" i="2" s="1"/>
  <c r="M607" i="2" s="1"/>
  <c r="N607" i="2" s="1"/>
  <c r="O607" i="2" s="1"/>
  <c r="P607" i="2" s="1"/>
  <c r="H593" i="2"/>
  <c r="I593" i="2" s="1"/>
  <c r="J593" i="2" s="1"/>
  <c r="K593" i="2" s="1"/>
  <c r="L593" i="2" s="1"/>
  <c r="M593" i="2" s="1"/>
  <c r="N593" i="2" s="1"/>
  <c r="O593" i="2" s="1"/>
  <c r="P593" i="2" s="1"/>
  <c r="Q595" i="2" s="1"/>
  <c r="Q593" i="2" s="1"/>
  <c r="G717" i="2"/>
  <c r="M401" i="2"/>
  <c r="K389" i="2"/>
  <c r="F734" i="2"/>
  <c r="J818" i="2"/>
  <c r="G1049" i="2"/>
  <c r="G1048" i="2"/>
  <c r="I1065" i="2"/>
  <c r="I1040" i="2" s="1"/>
  <c r="J1065" i="2"/>
  <c r="J1040" i="2" s="1"/>
  <c r="G1065" i="2"/>
  <c r="K1065" i="2"/>
  <c r="K1040" i="2" s="1"/>
  <c r="H1065" i="2"/>
  <c r="M1065" i="2"/>
  <c r="M1067" i="2" s="1"/>
  <c r="O1065" i="2"/>
  <c r="L1065" i="2"/>
  <c r="L1211" i="2" s="1"/>
  <c r="L1222" i="2" s="1"/>
  <c r="L1226" i="2" s="1"/>
  <c r="N1065" i="2"/>
  <c r="N1040" i="2" s="1"/>
  <c r="P1065" i="2"/>
  <c r="I389" i="2"/>
  <c r="I413" i="2"/>
  <c r="I392" i="2"/>
  <c r="I416" i="2"/>
  <c r="I398" i="2"/>
  <c r="I401" i="2"/>
  <c r="I404" i="2"/>
  <c r="P404" i="2"/>
  <c r="P407" i="2"/>
  <c r="P389" i="2"/>
  <c r="P413" i="2"/>
  <c r="P392" i="2"/>
  <c r="P416" i="2"/>
  <c r="P395" i="2"/>
  <c r="P419" i="2"/>
  <c r="H404" i="2"/>
  <c r="H407" i="2"/>
  <c r="H389" i="2"/>
  <c r="H413" i="2"/>
  <c r="H392" i="2"/>
  <c r="H416" i="2"/>
  <c r="H395" i="2"/>
  <c r="H419" i="2"/>
  <c r="P398" i="2"/>
  <c r="L389" i="2"/>
  <c r="I386" i="2"/>
  <c r="H338" i="2"/>
  <c r="I338" i="2"/>
  <c r="I800" i="2"/>
  <c r="L392" i="2"/>
  <c r="L416" i="2"/>
  <c r="L395" i="2"/>
  <c r="L419" i="2"/>
  <c r="L401" i="2"/>
  <c r="L404" i="2"/>
  <c r="L407" i="2"/>
  <c r="H343" i="2"/>
  <c r="H806" i="2"/>
  <c r="H339" i="2"/>
  <c r="H801" i="2"/>
  <c r="I340" i="2"/>
  <c r="I802" i="2"/>
  <c r="N401" i="2"/>
  <c r="K398" i="2"/>
  <c r="J413" i="2"/>
  <c r="J389" i="2"/>
  <c r="N419" i="2"/>
  <c r="K416" i="2"/>
  <c r="J407" i="2"/>
  <c r="C74" i="2"/>
  <c r="Q497" i="2"/>
  <c r="O502" i="2"/>
  <c r="O501" i="2" s="1"/>
  <c r="O319" i="2"/>
  <c r="O318" i="2" s="1"/>
  <c r="Q459" i="2"/>
  <c r="Q645" i="2" s="1"/>
  <c r="Q1139" i="2"/>
  <c r="Q667" i="2"/>
  <c r="O667" i="2"/>
  <c r="P502" i="2"/>
  <c r="P501" i="2" s="1"/>
  <c r="P319" i="2"/>
  <c r="P318" i="2" s="1"/>
  <c r="N320" i="2"/>
  <c r="Q492" i="2"/>
  <c r="P544" i="2"/>
  <c r="N502" i="2"/>
  <c r="N501" i="2" s="1"/>
  <c r="N319" i="2"/>
  <c r="N318" i="2" s="1"/>
  <c r="O674" i="2"/>
  <c r="G1023" i="2"/>
  <c r="M502" i="2"/>
  <c r="M501" i="2" s="1"/>
  <c r="M319" i="2"/>
  <c r="M318" i="2" s="1"/>
  <c r="M544" i="2"/>
  <c r="M497" i="2"/>
  <c r="D762" i="2"/>
  <c r="D724" i="2"/>
  <c r="D766" i="2"/>
  <c r="D732" i="2"/>
  <c r="D728" i="2"/>
  <c r="J502" i="2"/>
  <c r="J501" i="2" s="1"/>
  <c r="I576" i="2"/>
  <c r="I445" i="2"/>
  <c r="J445" i="2" s="1"/>
  <c r="K445" i="2" s="1"/>
  <c r="L445" i="2" s="1"/>
  <c r="M445" i="2" s="1"/>
  <c r="N445" i="2" s="1"/>
  <c r="O445" i="2" s="1"/>
  <c r="P445" i="2" s="1"/>
  <c r="D741" i="2"/>
  <c r="L319" i="2"/>
  <c r="L318" i="2" s="1"/>
  <c r="H351" i="2"/>
  <c r="H1023" i="2" s="1"/>
  <c r="D745" i="2"/>
  <c r="H431" i="2"/>
  <c r="L667" i="2"/>
  <c r="D749" i="2"/>
  <c r="I546" i="2"/>
  <c r="D753" i="2"/>
  <c r="L497" i="2"/>
  <c r="D758" i="2"/>
  <c r="H430" i="2" l="1"/>
  <c r="H549" i="2"/>
  <c r="H574" i="2" s="1"/>
  <c r="H670" i="2" s="1"/>
  <c r="I493" i="2"/>
  <c r="I491" i="2" s="1"/>
  <c r="Q777" i="2"/>
  <c r="I444" i="2"/>
  <c r="J444" i="2" s="1"/>
  <c r="J443" i="2" s="1"/>
  <c r="J456" i="2" s="1"/>
  <c r="J461" i="2" s="1"/>
  <c r="G512" i="2"/>
  <c r="G495" i="2"/>
  <c r="J815" i="2"/>
  <c r="K815" i="2" s="1"/>
  <c r="L815" i="2" s="1"/>
  <c r="M815" i="2" s="1"/>
  <c r="N815" i="2" s="1"/>
  <c r="O815" i="2" s="1"/>
  <c r="P815" i="2" s="1"/>
  <c r="Q815" i="2" s="1"/>
  <c r="F550" i="2"/>
  <c r="K738" i="2"/>
  <c r="K737" i="2" s="1"/>
  <c r="L738" i="2" s="1"/>
  <c r="L737" i="2" s="1"/>
  <c r="F1235" i="2"/>
  <c r="H1022" i="2"/>
  <c r="I1022" i="2"/>
  <c r="G457" i="2"/>
  <c r="H457" i="2" s="1"/>
  <c r="G473" i="2"/>
  <c r="I749" i="2"/>
  <c r="J749" i="2" s="1"/>
  <c r="J747" i="2" s="1"/>
  <c r="H460" i="2"/>
  <c r="N462" i="2"/>
  <c r="F546" i="2"/>
  <c r="F634" i="2"/>
  <c r="F673" i="2" s="1"/>
  <c r="F554" i="2"/>
  <c r="F457" i="2"/>
  <c r="F474" i="2" s="1"/>
  <c r="F562" i="2"/>
  <c r="H493" i="2"/>
  <c r="H491" i="2" s="1"/>
  <c r="F472" i="2"/>
  <c r="F488" i="2" s="1"/>
  <c r="F494" i="2" s="1"/>
  <c r="G833" i="2"/>
  <c r="M1215" i="2"/>
  <c r="I1017" i="2"/>
  <c r="I15" i="2" s="1"/>
  <c r="K1017" i="2"/>
  <c r="K15" i="2" s="1"/>
  <c r="J1017" i="2"/>
  <c r="J15" i="2" s="1"/>
  <c r="H758" i="2"/>
  <c r="H756" i="2" s="1"/>
  <c r="N1022" i="2"/>
  <c r="L1022" i="2"/>
  <c r="I1064" i="2"/>
  <c r="I1066" i="2" s="1"/>
  <c r="N1064" i="2"/>
  <c r="N1066" i="2" s="1"/>
  <c r="H1064" i="2"/>
  <c r="H1066" i="2" s="1"/>
  <c r="P1064" i="2"/>
  <c r="M1064" i="2"/>
  <c r="M1066" i="2" s="1"/>
  <c r="J1064" i="2"/>
  <c r="J1066" i="2" s="1"/>
  <c r="K1064" i="2"/>
  <c r="K1066" i="2" s="1"/>
  <c r="O1064" i="2"/>
  <c r="O1066" i="2" s="1"/>
  <c r="L1064" i="2"/>
  <c r="L1066" i="2" s="1"/>
  <c r="M1022" i="2"/>
  <c r="K1022" i="2"/>
  <c r="Q1022" i="2"/>
  <c r="P1022" i="2"/>
  <c r="H705" i="2"/>
  <c r="H701" i="2" s="1"/>
  <c r="G734" i="2"/>
  <c r="G772" i="2" s="1"/>
  <c r="G716" i="2" s="1"/>
  <c r="H15" i="2"/>
  <c r="H764" i="2"/>
  <c r="F624" i="2"/>
  <c r="F672" i="2" s="1"/>
  <c r="I762" i="2"/>
  <c r="J762" i="2" s="1"/>
  <c r="J760" i="2" s="1"/>
  <c r="H415" i="2"/>
  <c r="H791" i="2" s="1"/>
  <c r="I753" i="2"/>
  <c r="I751" i="2" s="1"/>
  <c r="H735" i="2"/>
  <c r="G424" i="2"/>
  <c r="H424" i="2" s="1"/>
  <c r="I424" i="2" s="1"/>
  <c r="J424" i="2" s="1"/>
  <c r="K424" i="2" s="1"/>
  <c r="L424" i="2" s="1"/>
  <c r="M424" i="2" s="1"/>
  <c r="N424" i="2" s="1"/>
  <c r="O424" i="2" s="1"/>
  <c r="P424" i="2" s="1"/>
  <c r="G811" i="2"/>
  <c r="G810" i="2" s="1"/>
  <c r="I770" i="2"/>
  <c r="J770" i="2" s="1"/>
  <c r="H406" i="2"/>
  <c r="H788" i="2" s="1"/>
  <c r="G787" i="2"/>
  <c r="O385" i="2"/>
  <c r="H730" i="2"/>
  <c r="I728" i="2"/>
  <c r="I726" i="2" s="1"/>
  <c r="G385" i="2"/>
  <c r="G1028" i="2" s="1"/>
  <c r="G626" i="2"/>
  <c r="H412" i="2"/>
  <c r="H790" i="2" s="1"/>
  <c r="H391" i="2"/>
  <c r="H783" i="2" s="1"/>
  <c r="F772" i="2"/>
  <c r="F675" i="2" s="1"/>
  <c r="I322" i="2"/>
  <c r="Q555" i="2"/>
  <c r="H400" i="2"/>
  <c r="H786" i="2" s="1"/>
  <c r="H421" i="2"/>
  <c r="H793" i="2" s="1"/>
  <c r="H397" i="2"/>
  <c r="H785" i="2" s="1"/>
  <c r="H394" i="2"/>
  <c r="H784" i="2" s="1"/>
  <c r="I403" i="2"/>
  <c r="I787" i="2" s="1"/>
  <c r="H388" i="2"/>
  <c r="H782" i="2" s="1"/>
  <c r="H409" i="2"/>
  <c r="H789" i="2" s="1"/>
  <c r="J766" i="2"/>
  <c r="J764" i="2" s="1"/>
  <c r="I764" i="2"/>
  <c r="I724" i="2"/>
  <c r="H722" i="2"/>
  <c r="I745" i="2"/>
  <c r="H743" i="2"/>
  <c r="J732" i="2"/>
  <c r="J730" i="2" s="1"/>
  <c r="I730" i="2"/>
  <c r="P385" i="2"/>
  <c r="G1026" i="2"/>
  <c r="G832" i="2" s="1"/>
  <c r="Q585" i="2"/>
  <c r="Q609" i="2"/>
  <c r="Q607" i="2" s="1"/>
  <c r="Q603" i="2"/>
  <c r="I740" i="2"/>
  <c r="I739" i="2" s="1"/>
  <c r="L385" i="2"/>
  <c r="J822" i="2"/>
  <c r="I618" i="2"/>
  <c r="H418" i="2"/>
  <c r="H792" i="2" s="1"/>
  <c r="I736" i="2"/>
  <c r="I735" i="2" s="1"/>
  <c r="I720" i="2"/>
  <c r="H718" i="2"/>
  <c r="H775" i="2"/>
  <c r="J776" i="2"/>
  <c r="I566" i="2"/>
  <c r="M385" i="2"/>
  <c r="H739" i="2"/>
  <c r="J778" i="2"/>
  <c r="I570" i="2"/>
  <c r="H693" i="2"/>
  <c r="H690" i="2" s="1"/>
  <c r="H689" i="2" s="1"/>
  <c r="H432" i="2"/>
  <c r="I430" i="2"/>
  <c r="H833" i="2"/>
  <c r="N675" i="2"/>
  <c r="N1017" i="2"/>
  <c r="J576" i="2"/>
  <c r="P675" i="2"/>
  <c r="P1017" i="2"/>
  <c r="Q493" i="2"/>
  <c r="Q491" i="2" s="1"/>
  <c r="F545" i="2"/>
  <c r="G545" i="2" s="1"/>
  <c r="H545" i="2" s="1"/>
  <c r="F670" i="2"/>
  <c r="L1067" i="2"/>
  <c r="L1215" i="2"/>
  <c r="L1040" i="2"/>
  <c r="J546" i="2"/>
  <c r="J385" i="2"/>
  <c r="J800" i="2"/>
  <c r="J338" i="2"/>
  <c r="O1067" i="2"/>
  <c r="O1040" i="2"/>
  <c r="O1215" i="2"/>
  <c r="O1211" i="2"/>
  <c r="O1222" i="2" s="1"/>
  <c r="O1226" i="2" s="1"/>
  <c r="K598" i="2"/>
  <c r="Q472" i="2"/>
  <c r="Q488" i="2" s="1"/>
  <c r="Q634" i="2"/>
  <c r="M675" i="2"/>
  <c r="M1017" i="2"/>
  <c r="O675" i="2"/>
  <c r="O1017" i="2"/>
  <c r="M1040" i="2"/>
  <c r="H1211" i="2"/>
  <c r="H1222" i="2" s="1"/>
  <c r="H1226" i="2" s="1"/>
  <c r="H1215" i="2"/>
  <c r="H1040" i="2"/>
  <c r="H1067" i="2"/>
  <c r="L675" i="2"/>
  <c r="L1017" i="2"/>
  <c r="K385" i="2"/>
  <c r="I801" i="2"/>
  <c r="I339" i="2"/>
  <c r="H385" i="2"/>
  <c r="G794" i="2"/>
  <c r="M1211" i="2"/>
  <c r="M1222" i="2" s="1"/>
  <c r="M1226" i="2" s="1"/>
  <c r="K1211" i="2"/>
  <c r="K1222" i="2" s="1"/>
  <c r="K1226" i="2" s="1"/>
  <c r="K1215" i="2"/>
  <c r="K1067" i="2"/>
  <c r="I351" i="2"/>
  <c r="H347" i="2"/>
  <c r="H1024" i="2"/>
  <c r="K742" i="2"/>
  <c r="K741" i="2" s="1"/>
  <c r="L742" i="2" s="1"/>
  <c r="J340" i="2"/>
  <c r="J802" i="2"/>
  <c r="N385" i="2"/>
  <c r="I705" i="2"/>
  <c r="I701" i="2" s="1"/>
  <c r="J429" i="2"/>
  <c r="G1067" i="2"/>
  <c r="G1215" i="2"/>
  <c r="G1040" i="2"/>
  <c r="G1211" i="2"/>
  <c r="G1222" i="2" s="1"/>
  <c r="G1226" i="2" s="1"/>
  <c r="K818" i="2"/>
  <c r="Q1084" i="2"/>
  <c r="Q687" i="2"/>
  <c r="I806" i="2"/>
  <c r="I343" i="2"/>
  <c r="Q1065" i="2"/>
  <c r="Q1067" i="2" s="1"/>
  <c r="P1211" i="2"/>
  <c r="P1222" i="2" s="1"/>
  <c r="P1226" i="2" s="1"/>
  <c r="P1040" i="2"/>
  <c r="P1067" i="2"/>
  <c r="P1215" i="2"/>
  <c r="J1067" i="2"/>
  <c r="J1211" i="2"/>
  <c r="J1222" i="2" s="1"/>
  <c r="J1226" i="2" s="1"/>
  <c r="J1215" i="2"/>
  <c r="I385" i="2"/>
  <c r="N1067" i="2"/>
  <c r="N1211" i="2"/>
  <c r="N1222" i="2" s="1"/>
  <c r="N1226" i="2" s="1"/>
  <c r="N1215" i="2"/>
  <c r="I1211" i="2"/>
  <c r="I1222" i="2" s="1"/>
  <c r="I1226" i="2" s="1"/>
  <c r="I1215" i="2"/>
  <c r="I1067" i="2"/>
  <c r="B5" i="56"/>
  <c r="L1" i="56"/>
  <c r="B14" i="56" s="1"/>
  <c r="B5" i="54"/>
  <c r="H547" i="2" l="1"/>
  <c r="J460" i="2"/>
  <c r="G1038" i="2"/>
  <c r="H579" i="2"/>
  <c r="K444" i="2"/>
  <c r="K443" i="2" s="1"/>
  <c r="K456" i="2" s="1"/>
  <c r="K461" i="2" s="1"/>
  <c r="I443" i="2"/>
  <c r="I456" i="2" s="1"/>
  <c r="I461" i="2" s="1"/>
  <c r="I747" i="2"/>
  <c r="F489" i="2"/>
  <c r="I758" i="2"/>
  <c r="F716" i="2"/>
  <c r="J475" i="2"/>
  <c r="J656" i="2" s="1"/>
  <c r="I475" i="2"/>
  <c r="I656" i="2" s="1"/>
  <c r="I1141" i="2"/>
  <c r="I659" i="2"/>
  <c r="F473" i="2"/>
  <c r="F513" i="2"/>
  <c r="F496" i="2"/>
  <c r="F490" i="2"/>
  <c r="O462" i="2"/>
  <c r="H601" i="2"/>
  <c r="H459" i="2"/>
  <c r="J1141" i="2"/>
  <c r="J659" i="2"/>
  <c r="K1141" i="2"/>
  <c r="H755" i="2"/>
  <c r="Q1064" i="2"/>
  <c r="Q1066" i="2" s="1"/>
  <c r="P1066" i="2"/>
  <c r="G1037" i="2"/>
  <c r="G1034" i="2"/>
  <c r="H1080" i="2"/>
  <c r="H819" i="2" s="1"/>
  <c r="H817" i="2" s="1"/>
  <c r="I388" i="2"/>
  <c r="I782" i="2" s="1"/>
  <c r="G1030" i="2"/>
  <c r="G1035" i="2"/>
  <c r="G1031" i="2"/>
  <c r="G1027" i="2"/>
  <c r="H1036" i="2"/>
  <c r="H1031" i="2"/>
  <c r="H1028" i="2"/>
  <c r="F680" i="2"/>
  <c r="F697" i="2" s="1"/>
  <c r="I406" i="2"/>
  <c r="J406" i="2" s="1"/>
  <c r="H1026" i="2"/>
  <c r="H832" i="2" s="1"/>
  <c r="G1033" i="2"/>
  <c r="G422" i="2"/>
  <c r="G1029" i="2"/>
  <c r="G1036" i="2"/>
  <c r="G1032" i="2"/>
  <c r="H1038" i="2"/>
  <c r="I760" i="2"/>
  <c r="I412" i="2"/>
  <c r="I790" i="2" s="1"/>
  <c r="I397" i="2"/>
  <c r="I785" i="2" s="1"/>
  <c r="J753" i="2"/>
  <c r="K763" i="2"/>
  <c r="K762" i="2" s="1"/>
  <c r="L763" i="2" s="1"/>
  <c r="H1034" i="2"/>
  <c r="H1037" i="2"/>
  <c r="H1033" i="2"/>
  <c r="H1027" i="2"/>
  <c r="H1029" i="2"/>
  <c r="H1030" i="2"/>
  <c r="J728" i="2"/>
  <c r="F781" i="2"/>
  <c r="F715" i="2" s="1"/>
  <c r="K767" i="2"/>
  <c r="K766" i="2" s="1"/>
  <c r="L767" i="2" s="1"/>
  <c r="I415" i="2"/>
  <c r="I791" i="2" s="1"/>
  <c r="I549" i="2"/>
  <c r="I547" i="2" s="1"/>
  <c r="K750" i="2"/>
  <c r="K749" i="2" s="1"/>
  <c r="L750" i="2" s="1"/>
  <c r="K733" i="2"/>
  <c r="K732" i="2" s="1"/>
  <c r="L733" i="2" s="1"/>
  <c r="I421" i="2"/>
  <c r="J421" i="2" s="1"/>
  <c r="I768" i="2"/>
  <c r="H1032" i="2"/>
  <c r="H1035" i="2"/>
  <c r="J322" i="2"/>
  <c r="I391" i="2"/>
  <c r="I783" i="2" s="1"/>
  <c r="I409" i="2"/>
  <c r="J736" i="2"/>
  <c r="J735" i="2" s="1"/>
  <c r="I394" i="2"/>
  <c r="Q494" i="2"/>
  <c r="Q500" i="2" s="1"/>
  <c r="H717" i="2"/>
  <c r="J403" i="2"/>
  <c r="H734" i="2"/>
  <c r="H422" i="2"/>
  <c r="I400" i="2"/>
  <c r="I743" i="2"/>
  <c r="J745" i="2"/>
  <c r="J758" i="2"/>
  <c r="I756" i="2"/>
  <c r="J768" i="2"/>
  <c r="K771" i="2"/>
  <c r="K770" i="2" s="1"/>
  <c r="I722" i="2"/>
  <c r="J724" i="2"/>
  <c r="K776" i="2"/>
  <c r="J566" i="2"/>
  <c r="K322" i="2"/>
  <c r="J740" i="2"/>
  <c r="J739" i="2" s="1"/>
  <c r="K778" i="2"/>
  <c r="J570" i="2"/>
  <c r="J720" i="2"/>
  <c r="I718" i="2"/>
  <c r="I418" i="2"/>
  <c r="K822" i="2"/>
  <c r="J618" i="2"/>
  <c r="J705" i="2"/>
  <c r="J701" i="2" s="1"/>
  <c r="K429" i="2"/>
  <c r="L741" i="2"/>
  <c r="K338" i="2"/>
  <c r="K800" i="2"/>
  <c r="K576" i="2"/>
  <c r="F500" i="2"/>
  <c r="F504" i="2" s="1"/>
  <c r="F511" i="2" s="1"/>
  <c r="F512" i="2" s="1"/>
  <c r="F804" i="2" s="1"/>
  <c r="F495" i="2"/>
  <c r="L818" i="2"/>
  <c r="L15" i="2"/>
  <c r="J635" i="2"/>
  <c r="N15" i="2"/>
  <c r="J806" i="2"/>
  <c r="J343" i="2"/>
  <c r="O15" i="2"/>
  <c r="L598" i="2"/>
  <c r="H811" i="2"/>
  <c r="K736" i="2"/>
  <c r="K735" i="2" s="1"/>
  <c r="I788" i="2"/>
  <c r="M15" i="2"/>
  <c r="M738" i="2"/>
  <c r="M737" i="2" s="1"/>
  <c r="I693" i="2"/>
  <c r="I690" i="2" s="1"/>
  <c r="I689" i="2" s="1"/>
  <c r="I432" i="2"/>
  <c r="I687" i="2" s="1"/>
  <c r="J430" i="2"/>
  <c r="I833" i="2"/>
  <c r="K340" i="2"/>
  <c r="K802" i="2"/>
  <c r="J351" i="2"/>
  <c r="I1023" i="2"/>
  <c r="I347" i="2"/>
  <c r="I422" i="2" s="1"/>
  <c r="I1024" i="2"/>
  <c r="J339" i="2"/>
  <c r="J801" i="2"/>
  <c r="P15" i="2"/>
  <c r="H687" i="2"/>
  <c r="H526" i="2"/>
  <c r="K546" i="2"/>
  <c r="B15" i="48"/>
  <c r="A15" i="48"/>
  <c r="B14" i="48"/>
  <c r="A14" i="48"/>
  <c r="B13" i="48"/>
  <c r="A13" i="48"/>
  <c r="B12" i="48"/>
  <c r="A12" i="48"/>
  <c r="B11" i="48"/>
  <c r="A11" i="48"/>
  <c r="B10" i="48"/>
  <c r="A10" i="48"/>
  <c r="B9" i="48"/>
  <c r="A9" i="48"/>
  <c r="B8" i="48"/>
  <c r="A8" i="48"/>
  <c r="B7" i="48"/>
  <c r="A7" i="48"/>
  <c r="B6" i="48"/>
  <c r="A6" i="48"/>
  <c r="B5" i="48"/>
  <c r="A5" i="48"/>
  <c r="B4" i="48"/>
  <c r="A4" i="48"/>
  <c r="B3" i="48"/>
  <c r="A3" i="48"/>
  <c r="L444" i="2" l="1"/>
  <c r="I734" i="2"/>
  <c r="I460" i="2"/>
  <c r="I601" i="2" s="1"/>
  <c r="K460" i="2"/>
  <c r="H646" i="2"/>
  <c r="I635" i="2"/>
  <c r="K475" i="2"/>
  <c r="K656" i="2" s="1"/>
  <c r="K659" i="2"/>
  <c r="H596" i="2"/>
  <c r="H577" i="2"/>
  <c r="H472" i="2"/>
  <c r="H645" i="2"/>
  <c r="H624" i="2"/>
  <c r="H599" i="2"/>
  <c r="P462" i="2"/>
  <c r="H46" i="4"/>
  <c r="J46" i="4" s="1"/>
  <c r="J388" i="2"/>
  <c r="J782" i="2" s="1"/>
  <c r="I793" i="2"/>
  <c r="L762" i="2"/>
  <c r="M763" i="2" s="1"/>
  <c r="M762" i="2" s="1"/>
  <c r="I755" i="2"/>
  <c r="J412" i="2"/>
  <c r="K412" i="2" s="1"/>
  <c r="I1029" i="2"/>
  <c r="K760" i="2"/>
  <c r="I1038" i="2"/>
  <c r="L732" i="2"/>
  <c r="M733" i="2" s="1"/>
  <c r="M732" i="2" s="1"/>
  <c r="I634" i="2"/>
  <c r="J397" i="2"/>
  <c r="K397" i="2" s="1"/>
  <c r="I1030" i="2"/>
  <c r="I574" i="2"/>
  <c r="I545" i="2" s="1"/>
  <c r="J751" i="2"/>
  <c r="K754" i="2"/>
  <c r="K753" i="2" s="1"/>
  <c r="J415" i="2"/>
  <c r="K415" i="2" s="1"/>
  <c r="L766" i="2"/>
  <c r="L764" i="2" s="1"/>
  <c r="K764" i="2"/>
  <c r="L749" i="2"/>
  <c r="K730" i="2"/>
  <c r="I1028" i="2"/>
  <c r="K747" i="2"/>
  <c r="I1035" i="2"/>
  <c r="I1031" i="2"/>
  <c r="J726" i="2"/>
  <c r="K729" i="2"/>
  <c r="I1037" i="2"/>
  <c r="I1033" i="2"/>
  <c r="I457" i="2"/>
  <c r="J457" i="2" s="1"/>
  <c r="I1036" i="2"/>
  <c r="I1034" i="2"/>
  <c r="I526" i="2"/>
  <c r="I1032" i="2"/>
  <c r="I1027" i="2"/>
  <c r="J391" i="2"/>
  <c r="K391" i="2" s="1"/>
  <c r="J549" i="2"/>
  <c r="J574" i="2" s="1"/>
  <c r="I789" i="2"/>
  <c r="J409" i="2"/>
  <c r="H772" i="2"/>
  <c r="H716" i="2" s="1"/>
  <c r="J394" i="2"/>
  <c r="I784" i="2"/>
  <c r="I786" i="2"/>
  <c r="J400" i="2"/>
  <c r="I1026" i="2"/>
  <c r="I832" i="2" s="1"/>
  <c r="J787" i="2"/>
  <c r="K403" i="2"/>
  <c r="L771" i="2"/>
  <c r="L770" i="2" s="1"/>
  <c r="K768" i="2"/>
  <c r="I717" i="2"/>
  <c r="J722" i="2"/>
  <c r="K725" i="2"/>
  <c r="K724" i="2" s="1"/>
  <c r="J756" i="2"/>
  <c r="J755" i="2" s="1"/>
  <c r="K759" i="2"/>
  <c r="K758" i="2" s="1"/>
  <c r="J743" i="2"/>
  <c r="K746" i="2"/>
  <c r="K745" i="2" s="1"/>
  <c r="L778" i="2"/>
  <c r="K570" i="2"/>
  <c r="L822" i="2"/>
  <c r="K618" i="2"/>
  <c r="L322" i="2"/>
  <c r="K740" i="2"/>
  <c r="K739" i="2" s="1"/>
  <c r="J418" i="2"/>
  <c r="I792" i="2"/>
  <c r="J718" i="2"/>
  <c r="K721" i="2"/>
  <c r="K720" i="2" s="1"/>
  <c r="L776" i="2"/>
  <c r="K566" i="2"/>
  <c r="N738" i="2"/>
  <c r="N737" i="2" s="1"/>
  <c r="K635" i="2"/>
  <c r="K705" i="2"/>
  <c r="K701" i="2" s="1"/>
  <c r="L429" i="2"/>
  <c r="K339" i="2"/>
  <c r="K801" i="2"/>
  <c r="L760" i="2"/>
  <c r="L338" i="2"/>
  <c r="L800" i="2"/>
  <c r="J432" i="2"/>
  <c r="K430" i="2"/>
  <c r="J693" i="2"/>
  <c r="J690" i="2" s="1"/>
  <c r="J689" i="2" s="1"/>
  <c r="J833" i="2"/>
  <c r="M598" i="2"/>
  <c r="K343" i="2"/>
  <c r="K806" i="2"/>
  <c r="K351" i="2"/>
  <c r="J1023" i="2"/>
  <c r="J347" i="2"/>
  <c r="J422" i="2" s="1"/>
  <c r="J1024" i="2"/>
  <c r="J788" i="2"/>
  <c r="K406" i="2"/>
  <c r="I1080" i="2"/>
  <c r="I819" i="2" s="1"/>
  <c r="I817" i="2" s="1"/>
  <c r="H810" i="2"/>
  <c r="G803" i="2"/>
  <c r="F805" i="2"/>
  <c r="L546" i="2"/>
  <c r="L802" i="2"/>
  <c r="L340" i="2"/>
  <c r="K421" i="2"/>
  <c r="J793" i="2"/>
  <c r="L659" i="2"/>
  <c r="L1141" i="2"/>
  <c r="L475" i="2"/>
  <c r="L656" i="2" s="1"/>
  <c r="M818" i="2"/>
  <c r="L747" i="2"/>
  <c r="M750" i="2"/>
  <c r="M749" i="2" s="1"/>
  <c r="L736" i="2"/>
  <c r="L735" i="2" s="1"/>
  <c r="L576" i="2"/>
  <c r="J634" i="2"/>
  <c r="L443" i="2"/>
  <c r="L456" i="2" s="1"/>
  <c r="L461" i="2" s="1"/>
  <c r="M444" i="2"/>
  <c r="M742" i="2"/>
  <c r="M741" i="2" s="1"/>
  <c r="L730" i="2" l="1"/>
  <c r="K388" i="2"/>
  <c r="L460" i="2"/>
  <c r="J790" i="2"/>
  <c r="I670" i="2"/>
  <c r="H597" i="2"/>
  <c r="H821" i="2"/>
  <c r="H672" i="2"/>
  <c r="H488" i="2"/>
  <c r="H473" i="2"/>
  <c r="H474" i="2" s="1"/>
  <c r="H671" i="2"/>
  <c r="H774" i="2"/>
  <c r="H625" i="2"/>
  <c r="H575" i="2"/>
  <c r="F46" i="4"/>
  <c r="G46" i="4"/>
  <c r="I46" i="4"/>
  <c r="I772" i="2"/>
  <c r="I716" i="2" s="1"/>
  <c r="J1031" i="2"/>
  <c r="I459" i="2"/>
  <c r="I472" i="2" s="1"/>
  <c r="J601" i="2"/>
  <c r="J791" i="2"/>
  <c r="M767" i="2"/>
  <c r="M766" i="2" s="1"/>
  <c r="M764" i="2" s="1"/>
  <c r="I775" i="2"/>
  <c r="J775" i="2" s="1"/>
  <c r="I579" i="2"/>
  <c r="I596" i="2" s="1"/>
  <c r="J547" i="2"/>
  <c r="J579" i="2"/>
  <c r="J596" i="2" s="1"/>
  <c r="J785" i="2"/>
  <c r="J734" i="2"/>
  <c r="K751" i="2"/>
  <c r="L754" i="2"/>
  <c r="L753" i="2" s="1"/>
  <c r="I646" i="2"/>
  <c r="K492" i="2"/>
  <c r="K728" i="2"/>
  <c r="J783" i="2"/>
  <c r="J1033" i="2"/>
  <c r="J1029" i="2"/>
  <c r="J1036" i="2"/>
  <c r="J1027" i="2"/>
  <c r="J1037" i="2"/>
  <c r="J1038" i="2"/>
  <c r="J1034" i="2"/>
  <c r="J1030" i="2"/>
  <c r="J1032" i="2"/>
  <c r="J1026" i="2"/>
  <c r="J832" i="2" s="1"/>
  <c r="J1028" i="2"/>
  <c r="J1035" i="2"/>
  <c r="J545" i="2"/>
  <c r="J670" i="2"/>
  <c r="K549" i="2"/>
  <c r="K574" i="2" s="1"/>
  <c r="J789" i="2"/>
  <c r="K409" i="2"/>
  <c r="K394" i="2"/>
  <c r="J784" i="2"/>
  <c r="K787" i="2"/>
  <c r="L403" i="2"/>
  <c r="J786" i="2"/>
  <c r="K400" i="2"/>
  <c r="L725" i="2"/>
  <c r="L724" i="2" s="1"/>
  <c r="K722" i="2"/>
  <c r="K790" i="2"/>
  <c r="L412" i="2"/>
  <c r="K1139" i="2"/>
  <c r="J717" i="2"/>
  <c r="L746" i="2"/>
  <c r="L745" i="2" s="1"/>
  <c r="K743" i="2"/>
  <c r="L759" i="2"/>
  <c r="L758" i="2" s="1"/>
  <c r="K756" i="2"/>
  <c r="K755" i="2" s="1"/>
  <c r="L768" i="2"/>
  <c r="M771" i="2"/>
  <c r="M770" i="2" s="1"/>
  <c r="J792" i="2"/>
  <c r="K418" i="2"/>
  <c r="M322" i="2"/>
  <c r="L740" i="2"/>
  <c r="L739" i="2" s="1"/>
  <c r="M776" i="2"/>
  <c r="L566" i="2"/>
  <c r="M822" i="2"/>
  <c r="L618" i="2"/>
  <c r="L721" i="2"/>
  <c r="L720" i="2" s="1"/>
  <c r="K718" i="2"/>
  <c r="M778" i="2"/>
  <c r="L570" i="2"/>
  <c r="M730" i="2"/>
  <c r="N733" i="2"/>
  <c r="N732" i="2" s="1"/>
  <c r="N742" i="2"/>
  <c r="N741" i="2" s="1"/>
  <c r="M760" i="2"/>
  <c r="N763" i="2"/>
  <c r="N762" i="2" s="1"/>
  <c r="M576" i="2"/>
  <c r="N818" i="2"/>
  <c r="L388" i="2"/>
  <c r="L343" i="2"/>
  <c r="L806" i="2"/>
  <c r="K693" i="2"/>
  <c r="K690" i="2" s="1"/>
  <c r="K689" i="2" s="1"/>
  <c r="K432" i="2"/>
  <c r="K687" i="2" s="1"/>
  <c r="L430" i="2"/>
  <c r="K833" i="2"/>
  <c r="L339" i="2"/>
  <c r="L801" i="2"/>
  <c r="M736" i="2"/>
  <c r="M735" i="2" s="1"/>
  <c r="I811" i="2"/>
  <c r="J687" i="2"/>
  <c r="J526" i="2"/>
  <c r="I624" i="2"/>
  <c r="I599" i="2"/>
  <c r="M546" i="2"/>
  <c r="M747" i="2"/>
  <c r="N750" i="2"/>
  <c r="N749" i="2" s="1"/>
  <c r="K783" i="2"/>
  <c r="L391" i="2"/>
  <c r="H341" i="2"/>
  <c r="G805" i="2"/>
  <c r="K788" i="2"/>
  <c r="L406" i="2"/>
  <c r="N598" i="2"/>
  <c r="M338" i="2"/>
  <c r="M800" i="2"/>
  <c r="M340" i="2"/>
  <c r="M802" i="2"/>
  <c r="F828" i="2"/>
  <c r="F799" i="2"/>
  <c r="F701" i="2"/>
  <c r="F707" i="2" s="1"/>
  <c r="M659" i="2"/>
  <c r="M1141" i="2"/>
  <c r="M475" i="2"/>
  <c r="M656" i="2" s="1"/>
  <c r="L415" i="2"/>
  <c r="K791" i="2"/>
  <c r="L705" i="2"/>
  <c r="L701" i="2" s="1"/>
  <c r="M429" i="2"/>
  <c r="L635" i="2"/>
  <c r="L549" i="2"/>
  <c r="N444" i="2"/>
  <c r="M443" i="2"/>
  <c r="M456" i="2" s="1"/>
  <c r="M461" i="2" s="1"/>
  <c r="J646" i="2"/>
  <c r="J459" i="2"/>
  <c r="J624" i="2"/>
  <c r="J672" i="2" s="1"/>
  <c r="K785" i="2"/>
  <c r="L397" i="2"/>
  <c r="K793" i="2"/>
  <c r="L421" i="2"/>
  <c r="O738" i="2"/>
  <c r="O737" i="2" s="1"/>
  <c r="L351" i="2"/>
  <c r="K1023" i="2"/>
  <c r="K347" i="2"/>
  <c r="K422" i="2" s="1"/>
  <c r="K782" i="2"/>
  <c r="K1024" i="2"/>
  <c r="K634" i="2"/>
  <c r="K457" i="2"/>
  <c r="K601" i="2"/>
  <c r="B21" i="48"/>
  <c r="A21" i="48"/>
  <c r="B20" i="48"/>
  <c r="A20" i="48"/>
  <c r="B19" i="48"/>
  <c r="A19" i="48"/>
  <c r="B18" i="48"/>
  <c r="A18" i="48"/>
  <c r="B17" i="48"/>
  <c r="A17" i="48"/>
  <c r="B16" i="48"/>
  <c r="A16" i="48"/>
  <c r="B40" i="48"/>
  <c r="A40" i="48"/>
  <c r="B39" i="48"/>
  <c r="A39" i="48"/>
  <c r="B38" i="48"/>
  <c r="A38" i="48"/>
  <c r="B37" i="48"/>
  <c r="A37" i="48"/>
  <c r="B36" i="48"/>
  <c r="A36" i="48"/>
  <c r="B35" i="48"/>
  <c r="A35" i="48"/>
  <c r="B34" i="48"/>
  <c r="A34" i="48"/>
  <c r="B33" i="48"/>
  <c r="A33" i="48"/>
  <c r="B32" i="48"/>
  <c r="A32" i="48"/>
  <c r="B31" i="48"/>
  <c r="A31" i="48"/>
  <c r="B30" i="48"/>
  <c r="A30" i="48"/>
  <c r="B29" i="48"/>
  <c r="A29" i="48"/>
  <c r="B28" i="48"/>
  <c r="A28" i="48"/>
  <c r="B27" i="48"/>
  <c r="A27" i="48"/>
  <c r="B26" i="48"/>
  <c r="A26" i="48"/>
  <c r="B25" i="48"/>
  <c r="A25" i="48"/>
  <c r="B24" i="48"/>
  <c r="A24" i="48"/>
  <c r="B23" i="48"/>
  <c r="A23" i="48"/>
  <c r="B22" i="48"/>
  <c r="A22" i="48"/>
  <c r="B50" i="48"/>
  <c r="A50" i="48"/>
  <c r="B49" i="48"/>
  <c r="A49" i="48"/>
  <c r="B48" i="48"/>
  <c r="A48" i="48"/>
  <c r="B47" i="48"/>
  <c r="A47" i="48"/>
  <c r="B46" i="48"/>
  <c r="A46" i="48"/>
  <c r="B45" i="48"/>
  <c r="A45" i="48"/>
  <c r="B44" i="48"/>
  <c r="A44" i="48"/>
  <c r="B43" i="48"/>
  <c r="A43" i="48"/>
  <c r="B42" i="48"/>
  <c r="A42" i="48"/>
  <c r="B41" i="48"/>
  <c r="A41" i="48"/>
  <c r="M6" i="5"/>
  <c r="S3" i="46"/>
  <c r="J6" i="5"/>
  <c r="J39" i="5" s="1"/>
  <c r="K6" i="5"/>
  <c r="K39" i="5" s="1"/>
  <c r="L6" i="5"/>
  <c r="L85" i="5" s="1"/>
  <c r="G23" i="49"/>
  <c r="G23" i="17"/>
  <c r="G23" i="16"/>
  <c r="G23" i="15"/>
  <c r="G23" i="13"/>
  <c r="G23" i="14"/>
  <c r="G23" i="12"/>
  <c r="G23" i="11"/>
  <c r="H108" i="51"/>
  <c r="D102" i="51"/>
  <c r="N767" i="2" l="1"/>
  <c r="N766" i="2" s="1"/>
  <c r="M460" i="2"/>
  <c r="I645" i="2"/>
  <c r="H494" i="2"/>
  <c r="H489" i="2"/>
  <c r="H490" i="2" s="1"/>
  <c r="H626" i="2"/>
  <c r="H669" i="2"/>
  <c r="K1029" i="2"/>
  <c r="I577" i="2"/>
  <c r="J577" i="2" s="1"/>
  <c r="J772" i="2"/>
  <c r="J716" i="2" s="1"/>
  <c r="K734" i="2"/>
  <c r="K1036" i="2"/>
  <c r="K579" i="2"/>
  <c r="K596" i="2" s="1"/>
  <c r="K624" i="2"/>
  <c r="K672" i="2" s="1"/>
  <c r="K493" i="2"/>
  <c r="K491" i="2" s="1"/>
  <c r="K1031" i="2"/>
  <c r="K1028" i="2"/>
  <c r="K1027" i="2"/>
  <c r="K1032" i="2"/>
  <c r="K1034" i="2"/>
  <c r="K1035" i="2"/>
  <c r="L751" i="2"/>
  <c r="M754" i="2"/>
  <c r="M753" i="2" s="1"/>
  <c r="K726" i="2"/>
  <c r="K717" i="2" s="1"/>
  <c r="L729" i="2"/>
  <c r="L1139" i="2" s="1"/>
  <c r="K1033" i="2"/>
  <c r="K1038" i="2"/>
  <c r="K1030" i="2"/>
  <c r="K1037" i="2"/>
  <c r="K547" i="2"/>
  <c r="K775" i="2"/>
  <c r="K670" i="2"/>
  <c r="K545" i="2"/>
  <c r="K789" i="2"/>
  <c r="L409" i="2"/>
  <c r="L1033" i="2" s="1"/>
  <c r="K784" i="2"/>
  <c r="L394" i="2"/>
  <c r="K786" i="2"/>
  <c r="L400" i="2"/>
  <c r="M403" i="2"/>
  <c r="L787" i="2"/>
  <c r="M725" i="2"/>
  <c r="M724" i="2" s="1"/>
  <c r="L722" i="2"/>
  <c r="N771" i="2"/>
  <c r="N770" i="2" s="1"/>
  <c r="M768" i="2"/>
  <c r="L790" i="2"/>
  <c r="M412" i="2"/>
  <c r="L756" i="2"/>
  <c r="L755" i="2" s="1"/>
  <c r="M759" i="2"/>
  <c r="M758" i="2" s="1"/>
  <c r="L743" i="2"/>
  <c r="M746" i="2"/>
  <c r="M745" i="2" s="1"/>
  <c r="K526" i="2"/>
  <c r="N776" i="2"/>
  <c r="M566" i="2"/>
  <c r="N778" i="2"/>
  <c r="M570" i="2"/>
  <c r="L718" i="2"/>
  <c r="M721" i="2"/>
  <c r="N322" i="2"/>
  <c r="M740" i="2"/>
  <c r="M739" i="2" s="1"/>
  <c r="K792" i="2"/>
  <c r="L418" i="2"/>
  <c r="N822" i="2"/>
  <c r="M618" i="2"/>
  <c r="K1026" i="2"/>
  <c r="K832" i="2" s="1"/>
  <c r="N764" i="2"/>
  <c r="O767" i="2"/>
  <c r="O766" i="2" s="1"/>
  <c r="N760" i="2"/>
  <c r="O763" i="2"/>
  <c r="O762" i="2" s="1"/>
  <c r="M705" i="2"/>
  <c r="M701" i="2" s="1"/>
  <c r="N429" i="2"/>
  <c r="N800" i="2"/>
  <c r="N338" i="2"/>
  <c r="J599" i="2"/>
  <c r="K646" i="2"/>
  <c r="K459" i="2"/>
  <c r="P738" i="2"/>
  <c r="P737" i="2" s="1"/>
  <c r="Q737" i="2" s="1"/>
  <c r="M635" i="2"/>
  <c r="I672" i="2"/>
  <c r="I597" i="2"/>
  <c r="J597" i="2" s="1"/>
  <c r="I821" i="2"/>
  <c r="L432" i="2"/>
  <c r="M430" i="2"/>
  <c r="L693" i="2"/>
  <c r="L690" i="2" s="1"/>
  <c r="L689" i="2" s="1"/>
  <c r="L833" i="2"/>
  <c r="O818" i="2"/>
  <c r="O444" i="2"/>
  <c r="N443" i="2"/>
  <c r="N456" i="2" s="1"/>
  <c r="N461" i="2" s="1"/>
  <c r="O598" i="2"/>
  <c r="L783" i="2"/>
  <c r="M391" i="2"/>
  <c r="N736" i="2"/>
  <c r="N735" i="2" s="1"/>
  <c r="L793" i="2"/>
  <c r="M421" i="2"/>
  <c r="N659" i="2"/>
  <c r="N1141" i="2"/>
  <c r="N475" i="2"/>
  <c r="N656" i="2" s="1"/>
  <c r="I488" i="2"/>
  <c r="I473" i="2"/>
  <c r="I474" i="2" s="1"/>
  <c r="N747" i="2"/>
  <c r="O750" i="2"/>
  <c r="O749" i="2" s="1"/>
  <c r="M801" i="2"/>
  <c r="M339" i="2"/>
  <c r="N576" i="2"/>
  <c r="O742" i="2"/>
  <c r="O741" i="2" s="1"/>
  <c r="L1023" i="2"/>
  <c r="M351" i="2"/>
  <c r="L347" i="2"/>
  <c r="L422" i="2" s="1"/>
  <c r="L782" i="2"/>
  <c r="L1024" i="2"/>
  <c r="J1080" i="2"/>
  <c r="J819" i="2" s="1"/>
  <c r="J817" i="2" s="1"/>
  <c r="I810" i="2"/>
  <c r="M343" i="2"/>
  <c r="M806" i="2"/>
  <c r="N730" i="2"/>
  <c r="O733" i="2"/>
  <c r="O732" i="2" s="1"/>
  <c r="J671" i="2"/>
  <c r="J625" i="2"/>
  <c r="M415" i="2"/>
  <c r="L791" i="2"/>
  <c r="M406" i="2"/>
  <c r="L788" i="2"/>
  <c r="L634" i="2"/>
  <c r="L457" i="2"/>
  <c r="L601" i="2"/>
  <c r="F829" i="2"/>
  <c r="F798" i="2"/>
  <c r="N546" i="2"/>
  <c r="L785" i="2"/>
  <c r="M397" i="2"/>
  <c r="J645" i="2"/>
  <c r="J472" i="2"/>
  <c r="N340" i="2"/>
  <c r="N802" i="2"/>
  <c r="G799" i="2"/>
  <c r="I671" i="2"/>
  <c r="I774" i="2"/>
  <c r="J774" i="2" s="1"/>
  <c r="I625" i="2"/>
  <c r="I575" i="2"/>
  <c r="J575" i="2" s="1"/>
  <c r="M388" i="2"/>
  <c r="M39" i="5"/>
  <c r="M85" i="5"/>
  <c r="J85" i="5"/>
  <c r="L39" i="5"/>
  <c r="K85" i="5"/>
  <c r="L34" i="5"/>
  <c r="K34" i="5"/>
  <c r="R3" i="46"/>
  <c r="S4" i="46"/>
  <c r="M34" i="5"/>
  <c r="Q4" i="46"/>
  <c r="J34" i="5"/>
  <c r="Q3" i="46"/>
  <c r="P4" i="46"/>
  <c r="P3" i="46"/>
  <c r="R4" i="46"/>
  <c r="H79" i="51"/>
  <c r="H78" i="51"/>
  <c r="E2" i="9"/>
  <c r="D22" i="51"/>
  <c r="D22" i="25"/>
  <c r="H28" i="51"/>
  <c r="N460" i="2" l="1"/>
  <c r="H495" i="2"/>
  <c r="H496" i="2" s="1"/>
  <c r="H500" i="2"/>
  <c r="H504" i="2" s="1"/>
  <c r="H524" i="2" s="1"/>
  <c r="K772" i="2"/>
  <c r="K716" i="2" s="1"/>
  <c r="L579" i="2"/>
  <c r="L734" i="2"/>
  <c r="L1030" i="2"/>
  <c r="L1037" i="2"/>
  <c r="L1028" i="2"/>
  <c r="L1029" i="2"/>
  <c r="M751" i="2"/>
  <c r="N754" i="2"/>
  <c r="N753" i="2" s="1"/>
  <c r="L1038" i="2"/>
  <c r="K577" i="2"/>
  <c r="L1034" i="2"/>
  <c r="K575" i="2"/>
  <c r="L728" i="2"/>
  <c r="L492" i="2"/>
  <c r="L493" i="2" s="1"/>
  <c r="L491" i="2" s="1"/>
  <c r="L1032" i="2"/>
  <c r="L1036" i="2"/>
  <c r="L1031" i="2"/>
  <c r="L1026" i="2"/>
  <c r="L832" i="2" s="1"/>
  <c r="L1035" i="2"/>
  <c r="L1027" i="2"/>
  <c r="M549" i="2"/>
  <c r="M574" i="2" s="1"/>
  <c r="M670" i="2" s="1"/>
  <c r="L789" i="2"/>
  <c r="M409" i="2"/>
  <c r="M394" i="2"/>
  <c r="L784" i="2"/>
  <c r="N403" i="2"/>
  <c r="M787" i="2"/>
  <c r="L786" i="2"/>
  <c r="M400" i="2"/>
  <c r="N412" i="2"/>
  <c r="M790" i="2"/>
  <c r="M743" i="2"/>
  <c r="N746" i="2"/>
  <c r="N745" i="2" s="1"/>
  <c r="O771" i="2"/>
  <c r="O770" i="2" s="1"/>
  <c r="N768" i="2"/>
  <c r="M722" i="2"/>
  <c r="N725" i="2"/>
  <c r="N724" i="2" s="1"/>
  <c r="M756" i="2"/>
  <c r="M755" i="2" s="1"/>
  <c r="N759" i="2"/>
  <c r="N758" i="2" s="1"/>
  <c r="M720" i="2"/>
  <c r="O822" i="2"/>
  <c r="N618" i="2"/>
  <c r="M418" i="2"/>
  <c r="M1031" i="2" s="1"/>
  <c r="L792" i="2"/>
  <c r="O778" i="2"/>
  <c r="N570" i="2"/>
  <c r="O776" i="2"/>
  <c r="N566" i="2"/>
  <c r="O322" i="2"/>
  <c r="N740" i="2"/>
  <c r="N739" i="2" s="1"/>
  <c r="O730" i="2"/>
  <c r="P733" i="2"/>
  <c r="P732" i="2" s="1"/>
  <c r="O760" i="2"/>
  <c r="P763" i="2"/>
  <c r="P762" i="2" s="1"/>
  <c r="O747" i="2"/>
  <c r="P750" i="2"/>
  <c r="P749" i="2" s="1"/>
  <c r="M785" i="2"/>
  <c r="N397" i="2"/>
  <c r="L459" i="2"/>
  <c r="L646" i="2"/>
  <c r="L624" i="2"/>
  <c r="L672" i="2" s="1"/>
  <c r="L596" i="2"/>
  <c r="J811" i="2"/>
  <c r="O736" i="2"/>
  <c r="O735" i="2" s="1"/>
  <c r="P818" i="2"/>
  <c r="K597" i="2"/>
  <c r="K599" i="2"/>
  <c r="N391" i="2"/>
  <c r="M783" i="2"/>
  <c r="N635" i="2"/>
  <c r="N549" i="2"/>
  <c r="O546" i="2"/>
  <c r="N406" i="2"/>
  <c r="M788" i="2"/>
  <c r="P742" i="2"/>
  <c r="P741" i="2" s="1"/>
  <c r="O659" i="2"/>
  <c r="O1141" i="2"/>
  <c r="O475" i="2"/>
  <c r="O656" i="2" s="1"/>
  <c r="P444" i="2"/>
  <c r="P443" i="2" s="1"/>
  <c r="P456" i="2" s="1"/>
  <c r="P461" i="2" s="1"/>
  <c r="O443" i="2"/>
  <c r="O456" i="2" s="1"/>
  <c r="O461" i="2" s="1"/>
  <c r="N388" i="2"/>
  <c r="I669" i="2"/>
  <c r="I626" i="2"/>
  <c r="J626" i="2" s="1"/>
  <c r="M793" i="2"/>
  <c r="N421" i="2"/>
  <c r="P598" i="2"/>
  <c r="N430" i="2"/>
  <c r="M432" i="2"/>
  <c r="M693" i="2"/>
  <c r="M690" i="2" s="1"/>
  <c r="M689" i="2" s="1"/>
  <c r="M833" i="2"/>
  <c r="M634" i="2"/>
  <c r="M601" i="2"/>
  <c r="M457" i="2"/>
  <c r="O338" i="2"/>
  <c r="O800" i="2"/>
  <c r="O340" i="2"/>
  <c r="O802" i="2"/>
  <c r="N415" i="2"/>
  <c r="M791" i="2"/>
  <c r="O576" i="2"/>
  <c r="L687" i="2"/>
  <c r="L526" i="2"/>
  <c r="K671" i="2"/>
  <c r="K774" i="2"/>
  <c r="K625" i="2"/>
  <c r="N705" i="2"/>
  <c r="N701" i="2" s="1"/>
  <c r="O429" i="2"/>
  <c r="N343" i="2"/>
  <c r="N806" i="2"/>
  <c r="L574" i="2"/>
  <c r="L547" i="2"/>
  <c r="J669" i="2"/>
  <c r="J488" i="2"/>
  <c r="J473" i="2"/>
  <c r="J474" i="2" s="1"/>
  <c r="M1023" i="2"/>
  <c r="N351" i="2"/>
  <c r="M347" i="2"/>
  <c r="M422" i="2" s="1"/>
  <c r="M782" i="2"/>
  <c r="M1024" i="2"/>
  <c r="N339" i="2"/>
  <c r="N801" i="2"/>
  <c r="I494" i="2"/>
  <c r="I489" i="2"/>
  <c r="I490" i="2" s="1"/>
  <c r="K645" i="2"/>
  <c r="K472" i="2"/>
  <c r="O764" i="2"/>
  <c r="P767" i="2"/>
  <c r="P766" i="2" s="1"/>
  <c r="J821" i="2"/>
  <c r="J61" i="5"/>
  <c r="G16" i="49"/>
  <c r="I39" i="7"/>
  <c r="I37" i="7"/>
  <c r="L21" i="7"/>
  <c r="K21" i="7"/>
  <c r="J21" i="7"/>
  <c r="M2" i="7"/>
  <c r="E17" i="7"/>
  <c r="J14" i="7"/>
  <c r="J12" i="7"/>
  <c r="I9" i="7"/>
  <c r="K7" i="7"/>
  <c r="M4" i="7"/>
  <c r="H18" i="5"/>
  <c r="F39" i="3"/>
  <c r="O460" i="2" l="1"/>
  <c r="P460" i="2"/>
  <c r="M734" i="2"/>
  <c r="M579" i="2"/>
  <c r="M547" i="2"/>
  <c r="M1038" i="2"/>
  <c r="M1027" i="2"/>
  <c r="M1035" i="2"/>
  <c r="O754" i="2"/>
  <c r="O753" i="2" s="1"/>
  <c r="N751" i="2"/>
  <c r="M1037" i="2"/>
  <c r="M1034" i="2"/>
  <c r="L726" i="2"/>
  <c r="L717" i="2" s="1"/>
  <c r="L772" i="2" s="1"/>
  <c r="L716" i="2" s="1"/>
  <c r="M729" i="2"/>
  <c r="M728" i="2" s="1"/>
  <c r="M1029" i="2"/>
  <c r="M789" i="2"/>
  <c r="N409" i="2"/>
  <c r="M1036" i="2"/>
  <c r="M1032" i="2"/>
  <c r="M1028" i="2"/>
  <c r="M1030" i="2"/>
  <c r="M1026" i="2"/>
  <c r="M832" i="2" s="1"/>
  <c r="L599" i="2"/>
  <c r="N574" i="2"/>
  <c r="N670" i="2" s="1"/>
  <c r="M1033" i="2"/>
  <c r="L577" i="2"/>
  <c r="M784" i="2"/>
  <c r="N394" i="2"/>
  <c r="M786" i="2"/>
  <c r="N400" i="2"/>
  <c r="O403" i="2"/>
  <c r="N787" i="2"/>
  <c r="P771" i="2"/>
  <c r="P770" i="2" s="1"/>
  <c r="O768" i="2"/>
  <c r="N743" i="2"/>
  <c r="O746" i="2"/>
  <c r="O745" i="2" s="1"/>
  <c r="N756" i="2"/>
  <c r="N755" i="2" s="1"/>
  <c r="O759" i="2"/>
  <c r="O758" i="2" s="1"/>
  <c r="N722" i="2"/>
  <c r="O725" i="2"/>
  <c r="O724" i="2" s="1"/>
  <c r="N790" i="2"/>
  <c r="O412" i="2"/>
  <c r="M792" i="2"/>
  <c r="N418" i="2"/>
  <c r="N1034" i="2" s="1"/>
  <c r="L597" i="2"/>
  <c r="O740" i="2"/>
  <c r="O739" i="2" s="1"/>
  <c r="P822" i="2"/>
  <c r="O618" i="2"/>
  <c r="M526" i="2"/>
  <c r="P776" i="2"/>
  <c r="O566" i="2"/>
  <c r="N721" i="2"/>
  <c r="M718" i="2"/>
  <c r="P778" i="2"/>
  <c r="O570" i="2"/>
  <c r="P760" i="2"/>
  <c r="Q762" i="2"/>
  <c r="Q760" i="2" s="1"/>
  <c r="Q741" i="2"/>
  <c r="P747" i="2"/>
  <c r="Q749" i="2"/>
  <c r="Q747" i="2" s="1"/>
  <c r="P576" i="2"/>
  <c r="N693" i="2"/>
  <c r="N690" i="2" s="1"/>
  <c r="N689" i="2" s="1"/>
  <c r="N432" i="2"/>
  <c r="O430" i="2"/>
  <c r="N833" i="2"/>
  <c r="O635" i="2"/>
  <c r="P736" i="2"/>
  <c r="P735" i="2" s="1"/>
  <c r="P764" i="2"/>
  <c r="Q766" i="2"/>
  <c r="Q764" i="2" s="1"/>
  <c r="O339" i="2"/>
  <c r="O801" i="2"/>
  <c r="I500" i="2"/>
  <c r="I504" i="2" s="1"/>
  <c r="I495" i="2"/>
  <c r="I496" i="2" s="1"/>
  <c r="P635" i="2"/>
  <c r="O391" i="2"/>
  <c r="N783" i="2"/>
  <c r="J810" i="2"/>
  <c r="K1080" i="2"/>
  <c r="K819" i="2" s="1"/>
  <c r="K817" i="2" s="1"/>
  <c r="M646" i="2"/>
  <c r="M459" i="2"/>
  <c r="M624" i="2"/>
  <c r="M672" i="2" s="1"/>
  <c r="M596" i="2"/>
  <c r="N788" i="2"/>
  <c r="O406" i="2"/>
  <c r="L671" i="2"/>
  <c r="L774" i="2"/>
  <c r="P730" i="2"/>
  <c r="Q732" i="2"/>
  <c r="Q730" i="2" s="1"/>
  <c r="N1023" i="2"/>
  <c r="O351" i="2"/>
  <c r="N347" i="2"/>
  <c r="N422" i="2" s="1"/>
  <c r="N782" i="2"/>
  <c r="N1024" i="2"/>
  <c r="N791" i="2"/>
  <c r="O415" i="2"/>
  <c r="P546" i="2"/>
  <c r="Q818" i="2"/>
  <c r="K821" i="2"/>
  <c r="K488" i="2"/>
  <c r="K473" i="2"/>
  <c r="K474" i="2" s="1"/>
  <c r="N547" i="2"/>
  <c r="O705" i="2"/>
  <c r="O701" i="2" s="1"/>
  <c r="P429" i="2"/>
  <c r="P340" i="2"/>
  <c r="P802" i="2"/>
  <c r="Q802" i="2" s="1"/>
  <c r="N793" i="2"/>
  <c r="O421" i="2"/>
  <c r="P659" i="2"/>
  <c r="P1141" i="2"/>
  <c r="P475" i="2"/>
  <c r="P656" i="2" s="1"/>
  <c r="L575" i="2"/>
  <c r="L645" i="2"/>
  <c r="L472" i="2"/>
  <c r="J494" i="2"/>
  <c r="J489" i="2"/>
  <c r="J490" i="2" s="1"/>
  <c r="L625" i="2"/>
  <c r="L670" i="2"/>
  <c r="L545" i="2"/>
  <c r="M545" i="2" s="1"/>
  <c r="L775" i="2"/>
  <c r="M775" i="2" s="1"/>
  <c r="O388" i="2"/>
  <c r="N634" i="2"/>
  <c r="N457" i="2"/>
  <c r="N601" i="2"/>
  <c r="N785" i="2"/>
  <c r="O397" i="2"/>
  <c r="O343" i="2"/>
  <c r="O806" i="2"/>
  <c r="K669" i="2"/>
  <c r="K626" i="2"/>
  <c r="L1021" i="2" s="1"/>
  <c r="P338" i="2"/>
  <c r="P800" i="2"/>
  <c r="M687" i="2"/>
  <c r="I18" i="5"/>
  <c r="J18" i="5" s="1"/>
  <c r="K18" i="5" s="1"/>
  <c r="L18" i="5" s="1"/>
  <c r="C5" i="48"/>
  <c r="C7" i="48"/>
  <c r="C14" i="48"/>
  <c r="C15" i="48"/>
  <c r="C9" i="48"/>
  <c r="C4" i="48"/>
  <c r="C12" i="48"/>
  <c r="C13" i="48"/>
  <c r="C3" i="48"/>
  <c r="C8" i="48"/>
  <c r="C6" i="48"/>
  <c r="C10" i="48"/>
  <c r="C11" i="48"/>
  <c r="O18" i="5"/>
  <c r="M101" i="5"/>
  <c r="M102" i="5"/>
  <c r="M103" i="5"/>
  <c r="M10" i="5"/>
  <c r="M18" i="5"/>
  <c r="M113" i="5"/>
  <c r="M100" i="5"/>
  <c r="M12" i="5"/>
  <c r="K72" i="5"/>
  <c r="J64" i="5"/>
  <c r="J72" i="5"/>
  <c r="K64" i="5"/>
  <c r="K61" i="5"/>
  <c r="Q18" i="5"/>
  <c r="P18" i="5"/>
  <c r="N18" i="5"/>
  <c r="G251" i="7"/>
  <c r="G250" i="7"/>
  <c r="G249" i="7" s="1"/>
  <c r="G248" i="7"/>
  <c r="G247" i="7" s="1"/>
  <c r="G246" i="7"/>
  <c r="G245" i="7" s="1"/>
  <c r="G244" i="7"/>
  <c r="G243" i="7"/>
  <c r="G242" i="7"/>
  <c r="G241" i="7"/>
  <c r="G240" i="7" s="1"/>
  <c r="G239" i="7"/>
  <c r="G238" i="7" s="1"/>
  <c r="G237" i="7"/>
  <c r="G236" i="7" s="1"/>
  <c r="G235" i="7"/>
  <c r="G234" i="7"/>
  <c r="G233" i="7"/>
  <c r="G232" i="7"/>
  <c r="G231" i="7"/>
  <c r="G230" i="7"/>
  <c r="G148" i="7"/>
  <c r="G147" i="7"/>
  <c r="G146" i="7" s="1"/>
  <c r="G145" i="7"/>
  <c r="G144" i="7" s="1"/>
  <c r="G143" i="7"/>
  <c r="G142" i="7" s="1"/>
  <c r="G141" i="7"/>
  <c r="G140" i="7"/>
  <c r="G139" i="7"/>
  <c r="G138" i="7"/>
  <c r="G137" i="7" s="1"/>
  <c r="G136" i="7"/>
  <c r="G135" i="7" s="1"/>
  <c r="G134" i="7"/>
  <c r="G133" i="7" s="1"/>
  <c r="G132" i="7"/>
  <c r="G131" i="7"/>
  <c r="G130" i="7"/>
  <c r="G129" i="7"/>
  <c r="G128" i="7"/>
  <c r="G127" i="7"/>
  <c r="N1030" i="2" l="1"/>
  <c r="N734" i="2"/>
  <c r="N579" i="2"/>
  <c r="N596" i="2" s="1"/>
  <c r="N1032" i="2"/>
  <c r="O751" i="2"/>
  <c r="P754" i="2"/>
  <c r="P753" i="2" s="1"/>
  <c r="P549" i="2"/>
  <c r="N1038" i="2"/>
  <c r="M726" i="2"/>
  <c r="M717" i="2" s="1"/>
  <c r="M772" i="2" s="1"/>
  <c r="M716" i="2" s="1"/>
  <c r="N729" i="2"/>
  <c r="N492" i="2" s="1"/>
  <c r="M492" i="2"/>
  <c r="M1139" i="2"/>
  <c r="N1028" i="2"/>
  <c r="N1027" i="2"/>
  <c r="N1037" i="2"/>
  <c r="N1033" i="2"/>
  <c r="N1026" i="2"/>
  <c r="N832" i="2" s="1"/>
  <c r="N1029" i="2"/>
  <c r="M597" i="2"/>
  <c r="M575" i="2"/>
  <c r="N1036" i="2"/>
  <c r="N1035" i="2"/>
  <c r="N1031" i="2"/>
  <c r="O549" i="2"/>
  <c r="O574" i="2" s="1"/>
  <c r="O670" i="2" s="1"/>
  <c r="O409" i="2"/>
  <c r="N789" i="2"/>
  <c r="N545" i="2"/>
  <c r="N775" i="2"/>
  <c r="N784" i="2"/>
  <c r="O394" i="2"/>
  <c r="O1034" i="2" s="1"/>
  <c r="P574" i="2"/>
  <c r="P670" i="2" s="1"/>
  <c r="O787" i="2"/>
  <c r="P403" i="2"/>
  <c r="P787" i="2" s="1"/>
  <c r="O400" i="2"/>
  <c r="N786" i="2"/>
  <c r="O756" i="2"/>
  <c r="O755" i="2" s="1"/>
  <c r="P759" i="2"/>
  <c r="P758" i="2" s="1"/>
  <c r="P412" i="2"/>
  <c r="P790" i="2" s="1"/>
  <c r="O790" i="2"/>
  <c r="O743" i="2"/>
  <c r="O734" i="2" s="1"/>
  <c r="P746" i="2"/>
  <c r="P745" i="2" s="1"/>
  <c r="O722" i="2"/>
  <c r="P725" i="2"/>
  <c r="P724" i="2" s="1"/>
  <c r="P768" i="2"/>
  <c r="Q770" i="2"/>
  <c r="Q768" i="2" s="1"/>
  <c r="K811" i="2"/>
  <c r="L1080" i="2" s="1"/>
  <c r="L819" i="2" s="1"/>
  <c r="L817" i="2" s="1"/>
  <c r="P618" i="2"/>
  <c r="Q619" i="2" s="1"/>
  <c r="Q822" i="2" s="1"/>
  <c r="P570" i="2"/>
  <c r="Q571" i="2" s="1"/>
  <c r="Q778" i="2" s="1"/>
  <c r="Q740" i="2"/>
  <c r="Q739" i="2" s="1"/>
  <c r="P740" i="2"/>
  <c r="P739" i="2" s="1"/>
  <c r="N720" i="2"/>
  <c r="P322" i="2"/>
  <c r="O418" i="2"/>
  <c r="N792" i="2"/>
  <c r="P566" i="2"/>
  <c r="Q567" i="2" s="1"/>
  <c r="Q776" i="2" s="1"/>
  <c r="M599" i="2"/>
  <c r="P343" i="2"/>
  <c r="P806" i="2"/>
  <c r="Q806" i="2" s="1"/>
  <c r="O793" i="2"/>
  <c r="P421" i="2"/>
  <c r="P793" i="2" s="1"/>
  <c r="I524" i="2"/>
  <c r="L669" i="2"/>
  <c r="L626" i="2"/>
  <c r="M1021" i="2" s="1"/>
  <c r="O785" i="2"/>
  <c r="P397" i="2"/>
  <c r="P785" i="2" s="1"/>
  <c r="P388" i="2"/>
  <c r="L488" i="2"/>
  <c r="L473" i="2"/>
  <c r="L474" i="2" s="1"/>
  <c r="K494" i="2"/>
  <c r="K489" i="2"/>
  <c r="K490" i="2" s="1"/>
  <c r="M645" i="2"/>
  <c r="M472" i="2"/>
  <c r="O783" i="2"/>
  <c r="P391" i="2"/>
  <c r="P783" i="2" s="1"/>
  <c r="P705" i="2"/>
  <c r="P701" i="2" s="1"/>
  <c r="Q429" i="2"/>
  <c r="Q705" i="2" s="1"/>
  <c r="Q701" i="2" s="1"/>
  <c r="J500" i="2"/>
  <c r="J504" i="2" s="1"/>
  <c r="J495" i="2"/>
  <c r="J496" i="2" s="1"/>
  <c r="O791" i="2"/>
  <c r="P415" i="2"/>
  <c r="P791" i="2" s="1"/>
  <c r="P634" i="2"/>
  <c r="P457" i="2"/>
  <c r="P339" i="2"/>
  <c r="P801" i="2"/>
  <c r="Q801" i="2" s="1"/>
  <c r="Q800" i="2"/>
  <c r="N459" i="2"/>
  <c r="N646" i="2"/>
  <c r="N624" i="2"/>
  <c r="N672" i="2" s="1"/>
  <c r="O1023" i="2"/>
  <c r="P351" i="2"/>
  <c r="O347" i="2"/>
  <c r="O422" i="2" s="1"/>
  <c r="O782" i="2"/>
  <c r="O1024" i="2"/>
  <c r="M577" i="2"/>
  <c r="O634" i="2"/>
  <c r="O457" i="2"/>
  <c r="O601" i="2"/>
  <c r="L821" i="2"/>
  <c r="O788" i="2"/>
  <c r="P406" i="2"/>
  <c r="P788" i="2" s="1"/>
  <c r="P430" i="2"/>
  <c r="O693" i="2"/>
  <c r="O690" i="2" s="1"/>
  <c r="O689" i="2" s="1"/>
  <c r="O432" i="2"/>
  <c r="O833" i="2"/>
  <c r="M774" i="2"/>
  <c r="M671" i="2"/>
  <c r="M625" i="2"/>
  <c r="N687" i="2"/>
  <c r="N526" i="2"/>
  <c r="M105" i="5"/>
  <c r="L64" i="5"/>
  <c r="L72" i="5"/>
  <c r="L61" i="5"/>
  <c r="K12" i="9"/>
  <c r="G69" i="7"/>
  <c r="K2" i="9"/>
  <c r="J32" i="9"/>
  <c r="J22" i="9"/>
  <c r="C507" i="21"/>
  <c r="B486" i="21"/>
  <c r="O1036" i="2" l="1"/>
  <c r="P601" i="2"/>
  <c r="P624" i="2" s="1"/>
  <c r="P672" i="2" s="1"/>
  <c r="O579" i="2"/>
  <c r="O596" i="2" s="1"/>
  <c r="N1139" i="2"/>
  <c r="N493" i="2" s="1"/>
  <c r="N491" i="2" s="1"/>
  <c r="P579" i="2"/>
  <c r="P596" i="2" s="1"/>
  <c r="P751" i="2"/>
  <c r="Q753" i="2"/>
  <c r="Q751" i="2" s="1"/>
  <c r="N577" i="2"/>
  <c r="O1028" i="2"/>
  <c r="O1035" i="2"/>
  <c r="M493" i="2"/>
  <c r="M491" i="2" s="1"/>
  <c r="N728" i="2"/>
  <c r="N575" i="2"/>
  <c r="N599" i="2"/>
  <c r="O1037" i="2"/>
  <c r="O526" i="2"/>
  <c r="O1038" i="2"/>
  <c r="O1030" i="2"/>
  <c r="K810" i="2"/>
  <c r="O1033" i="2"/>
  <c r="O1031" i="2"/>
  <c r="O1029" i="2"/>
  <c r="O1032" i="2"/>
  <c r="O1027" i="2"/>
  <c r="O545" i="2"/>
  <c r="P545" i="2" s="1"/>
  <c r="O547" i="2"/>
  <c r="P547" i="2" s="1"/>
  <c r="Q549" i="2" s="1"/>
  <c r="Q574" i="2" s="1"/>
  <c r="O775" i="2"/>
  <c r="P775" i="2" s="1"/>
  <c r="O789" i="2"/>
  <c r="P409" i="2"/>
  <c r="P789" i="2" s="1"/>
  <c r="O784" i="2"/>
  <c r="P394" i="2"/>
  <c r="P784" i="2" s="1"/>
  <c r="O1026" i="2"/>
  <c r="O832" i="2" s="1"/>
  <c r="O786" i="2"/>
  <c r="P400" i="2"/>
  <c r="P786" i="2" s="1"/>
  <c r="Q724" i="2"/>
  <c r="Q722" i="2" s="1"/>
  <c r="P722" i="2"/>
  <c r="P743" i="2"/>
  <c r="Q745" i="2"/>
  <c r="Q743" i="2" s="1"/>
  <c r="P756" i="2"/>
  <c r="P755" i="2" s="1"/>
  <c r="Q758" i="2"/>
  <c r="Q756" i="2" s="1"/>
  <c r="Q755" i="2" s="1"/>
  <c r="P418" i="2"/>
  <c r="P792" i="2" s="1"/>
  <c r="O792" i="2"/>
  <c r="O721" i="2"/>
  <c r="N718" i="2"/>
  <c r="N597" i="2"/>
  <c r="L811" i="2"/>
  <c r="M821" i="2"/>
  <c r="P1023" i="2"/>
  <c r="P347" i="2"/>
  <c r="P422" i="2" s="1"/>
  <c r="P782" i="2"/>
  <c r="P1024" i="2"/>
  <c r="N645" i="2"/>
  <c r="N472" i="2"/>
  <c r="Q321" i="2"/>
  <c r="Q319" i="2" s="1"/>
  <c r="Q675" i="2" s="1"/>
  <c r="O687" i="2"/>
  <c r="P693" i="2"/>
  <c r="P690" i="2" s="1"/>
  <c r="P689" i="2" s="1"/>
  <c r="P432" i="2"/>
  <c r="P687" i="2" s="1"/>
  <c r="P833" i="2"/>
  <c r="Q430" i="2"/>
  <c r="Q833" i="2" s="1"/>
  <c r="M669" i="2"/>
  <c r="M626" i="2"/>
  <c r="N1021" i="2" s="1"/>
  <c r="J524" i="2"/>
  <c r="K500" i="2"/>
  <c r="K504" i="2" s="1"/>
  <c r="K495" i="2"/>
  <c r="K496" i="2" s="1"/>
  <c r="O646" i="2"/>
  <c r="O459" i="2"/>
  <c r="O624" i="2"/>
  <c r="O672" i="2" s="1"/>
  <c r="N671" i="2"/>
  <c r="N774" i="2"/>
  <c r="N625" i="2"/>
  <c r="P459" i="2"/>
  <c r="P646" i="2"/>
  <c r="M488" i="2"/>
  <c r="M473" i="2"/>
  <c r="M474" i="2" s="1"/>
  <c r="L494" i="2"/>
  <c r="L489" i="2"/>
  <c r="L490" i="2" s="1"/>
  <c r="M72" i="5"/>
  <c r="M64" i="5"/>
  <c r="M9" i="5"/>
  <c r="J46" i="5"/>
  <c r="J70" i="5"/>
  <c r="J47" i="5"/>
  <c r="J48" i="5"/>
  <c r="J45" i="5"/>
  <c r="M61" i="5"/>
  <c r="J12" i="9"/>
  <c r="F4" i="46" s="1"/>
  <c r="P734" i="2" l="1"/>
  <c r="P1034" i="2"/>
  <c r="P1038" i="2"/>
  <c r="P1033" i="2"/>
  <c r="P526" i="2"/>
  <c r="O729" i="2"/>
  <c r="O492" i="2" s="1"/>
  <c r="N726" i="2"/>
  <c r="N717" i="2" s="1"/>
  <c r="N772" i="2" s="1"/>
  <c r="N716" i="2" s="1"/>
  <c r="P1027" i="2"/>
  <c r="P1028" i="2"/>
  <c r="P1030" i="2"/>
  <c r="P1037" i="2"/>
  <c r="P1036" i="2"/>
  <c r="P1035" i="2"/>
  <c r="P1031" i="2"/>
  <c r="P1029" i="2"/>
  <c r="P1032" i="2"/>
  <c r="P1026" i="2"/>
  <c r="P832" i="2" s="1"/>
  <c r="Q547" i="2"/>
  <c r="O720" i="2"/>
  <c r="M494" i="2"/>
  <c r="M489" i="2"/>
  <c r="M490" i="2" s="1"/>
  <c r="K524" i="2"/>
  <c r="N488" i="2"/>
  <c r="N473" i="2"/>
  <c r="N474" i="2" s="1"/>
  <c r="O671" i="2"/>
  <c r="O774" i="2"/>
  <c r="P774" i="2" s="1"/>
  <c r="O625" i="2"/>
  <c r="O577" i="2"/>
  <c r="P577" i="2" s="1"/>
  <c r="N821" i="2"/>
  <c r="L810" i="2"/>
  <c r="M1080" i="2"/>
  <c r="M819" i="2" s="1"/>
  <c r="M817" i="2" s="1"/>
  <c r="P645" i="2"/>
  <c r="P472" i="2"/>
  <c r="Q670" i="2"/>
  <c r="O645" i="2"/>
  <c r="O472" i="2"/>
  <c r="Q775" i="2"/>
  <c r="O597" i="2"/>
  <c r="P597" i="2" s="1"/>
  <c r="P671" i="2"/>
  <c r="P625" i="2"/>
  <c r="Q545" i="2"/>
  <c r="O599" i="2"/>
  <c r="P599" i="2" s="1"/>
  <c r="Q736" i="2"/>
  <c r="Q735" i="2" s="1"/>
  <c r="Q734" i="2" s="1"/>
  <c r="Q322" i="2"/>
  <c r="L500" i="2"/>
  <c r="L504" i="2" s="1"/>
  <c r="L495" i="2"/>
  <c r="L496" i="2" s="1"/>
  <c r="N669" i="2"/>
  <c r="N626" i="2"/>
  <c r="Q502" i="2"/>
  <c r="Q501" i="2" s="1"/>
  <c r="Q504" i="2" s="1"/>
  <c r="Q1219" i="2"/>
  <c r="O575" i="2"/>
  <c r="P575" i="2" s="1"/>
  <c r="J71" i="5"/>
  <c r="J44" i="5"/>
  <c r="M114" i="5"/>
  <c r="M14" i="5"/>
  <c r="M11" i="5"/>
  <c r="K48" i="5"/>
  <c r="K70" i="5"/>
  <c r="K45" i="5"/>
  <c r="K46" i="5"/>
  <c r="K47" i="5"/>
  <c r="J76" i="5"/>
  <c r="J2" i="9"/>
  <c r="M223" i="4" s="1"/>
  <c r="I2" i="9"/>
  <c r="C2" i="48" s="1"/>
  <c r="O1139" i="2" l="1"/>
  <c r="O493" i="2" s="1"/>
  <c r="O491" i="2" s="1"/>
  <c r="O1021" i="2"/>
  <c r="O728" i="2"/>
  <c r="P721" i="2"/>
  <c r="O718" i="2"/>
  <c r="P488" i="2"/>
  <c r="P473" i="2"/>
  <c r="P474" i="2" s="1"/>
  <c r="N494" i="2"/>
  <c r="N489" i="2"/>
  <c r="N490" i="2" s="1"/>
  <c r="Q579" i="2"/>
  <c r="Q596" i="2" s="1"/>
  <c r="L524" i="2"/>
  <c r="M811" i="2"/>
  <c r="Q519" i="2"/>
  <c r="Q535" i="2"/>
  <c r="Q601" i="2"/>
  <c r="Q624" i="2" s="1"/>
  <c r="Q672" i="2" s="1"/>
  <c r="O488" i="2"/>
  <c r="O473" i="2"/>
  <c r="O474" i="2" s="1"/>
  <c r="O669" i="2"/>
  <c r="O626" i="2"/>
  <c r="Q1086" i="2"/>
  <c r="Q524" i="2"/>
  <c r="O821" i="2"/>
  <c r="M500" i="2"/>
  <c r="M504" i="2" s="1"/>
  <c r="M495" i="2"/>
  <c r="M496" i="2" s="1"/>
  <c r="P669" i="2"/>
  <c r="K71" i="5"/>
  <c r="K44" i="5"/>
  <c r="L48" i="5"/>
  <c r="L47" i="5"/>
  <c r="L45" i="5"/>
  <c r="L46" i="5"/>
  <c r="L70" i="5"/>
  <c r="J69" i="5"/>
  <c r="J73" i="5" s="1"/>
  <c r="M19" i="5"/>
  <c r="M112" i="5"/>
  <c r="M115" i="5" s="1"/>
  <c r="F407" i="4"/>
  <c r="F453" i="4"/>
  <c r="F315" i="4"/>
  <c r="F361" i="4"/>
  <c r="F223" i="4"/>
  <c r="F269" i="4"/>
  <c r="M453" i="4"/>
  <c r="M407" i="4"/>
  <c r="M361" i="4"/>
  <c r="M315" i="4"/>
  <c r="M269" i="4"/>
  <c r="O726" i="2" l="1"/>
  <c r="O717" i="2" s="1"/>
  <c r="O772" i="2" s="1"/>
  <c r="P729" i="2"/>
  <c r="P492" i="2" s="1"/>
  <c r="Q599" i="2"/>
  <c r="P720" i="2"/>
  <c r="P489" i="2"/>
  <c r="P490" i="2" s="1"/>
  <c r="A488" i="2"/>
  <c r="Q577" i="2"/>
  <c r="N1080" i="2"/>
  <c r="N819" i="2" s="1"/>
  <c r="N817" i="2" s="1"/>
  <c r="M810" i="2"/>
  <c r="P626" i="2"/>
  <c r="Q597" i="2"/>
  <c r="Q774" i="2"/>
  <c r="Q671" i="2"/>
  <c r="Q625" i="2"/>
  <c r="Q575" i="2"/>
  <c r="N500" i="2"/>
  <c r="N504" i="2" s="1"/>
  <c r="N495" i="2"/>
  <c r="N496" i="2" s="1"/>
  <c r="O494" i="2"/>
  <c r="O489" i="2"/>
  <c r="O490" i="2" s="1"/>
  <c r="P821" i="2"/>
  <c r="M524" i="2"/>
  <c r="L44" i="5"/>
  <c r="L71" i="5"/>
  <c r="M117" i="5"/>
  <c r="K53" i="5"/>
  <c r="J53" i="5"/>
  <c r="M70" i="5"/>
  <c r="M46" i="5"/>
  <c r="M47" i="5"/>
  <c r="M45" i="5"/>
  <c r="M48" i="5"/>
  <c r="K76" i="5"/>
  <c r="M90" i="5"/>
  <c r="O45" i="7"/>
  <c r="O44" i="7"/>
  <c r="O46" i="7"/>
  <c r="P1139" i="2" l="1"/>
  <c r="P493" i="2" s="1"/>
  <c r="P491" i="2" s="1"/>
  <c r="P494" i="2" s="1"/>
  <c r="P500" i="2" s="1"/>
  <c r="P504" i="2" s="1"/>
  <c r="P728" i="2"/>
  <c r="Q728" i="2" s="1"/>
  <c r="Q726" i="2" s="1"/>
  <c r="O716" i="2"/>
  <c r="P1021" i="2"/>
  <c r="Q1021" i="2"/>
  <c r="N811" i="2"/>
  <c r="O1080" i="2" s="1"/>
  <c r="O819" i="2" s="1"/>
  <c r="O817" i="2" s="1"/>
  <c r="Q720" i="2"/>
  <c r="Q718" i="2" s="1"/>
  <c r="P718" i="2"/>
  <c r="Q821" i="2"/>
  <c r="Q669" i="2"/>
  <c r="Q626" i="2"/>
  <c r="N524" i="2"/>
  <c r="O500" i="2"/>
  <c r="O504" i="2" s="1"/>
  <c r="O495" i="2"/>
  <c r="O496" i="2" s="1"/>
  <c r="L53" i="5"/>
  <c r="M71" i="5"/>
  <c r="M44" i="5"/>
  <c r="K52" i="5"/>
  <c r="J52" i="5"/>
  <c r="K78" i="5"/>
  <c r="J78" i="5"/>
  <c r="K69" i="5"/>
  <c r="K73" i="5" s="1"/>
  <c r="F14" i="3"/>
  <c r="E14" i="3"/>
  <c r="P726" i="2" l="1"/>
  <c r="P717" i="2" s="1"/>
  <c r="P772" i="2" s="1"/>
  <c r="P716" i="2" s="1"/>
  <c r="P495" i="2"/>
  <c r="P496" i="2" s="1"/>
  <c r="Q717" i="2"/>
  <c r="Q772" i="2" s="1"/>
  <c r="Q716" i="2" s="1"/>
  <c r="N810" i="2"/>
  <c r="O524" i="2"/>
  <c r="O811" i="2"/>
  <c r="P524" i="2"/>
  <c r="M53" i="5"/>
  <c r="L52" i="5"/>
  <c r="L78" i="5"/>
  <c r="L76" i="5"/>
  <c r="C451" i="4"/>
  <c r="D455" i="4"/>
  <c r="D454" i="4"/>
  <c r="D453" i="4"/>
  <c r="C405" i="4"/>
  <c r="D409" i="4"/>
  <c r="D408" i="4"/>
  <c r="D407" i="4"/>
  <c r="C359" i="4"/>
  <c r="D363" i="4"/>
  <c r="D362" i="4"/>
  <c r="D361" i="4"/>
  <c r="C313" i="4"/>
  <c r="D317" i="4"/>
  <c r="D316" i="4"/>
  <c r="D315" i="4"/>
  <c r="C267" i="4"/>
  <c r="D271" i="4"/>
  <c r="D270" i="4"/>
  <c r="D269" i="4"/>
  <c r="I20" i="7"/>
  <c r="I19" i="7"/>
  <c r="I17" i="7"/>
  <c r="I16" i="7"/>
  <c r="I15" i="7"/>
  <c r="I14" i="7"/>
  <c r="A29" i="7"/>
  <c r="A28" i="7"/>
  <c r="A26" i="7"/>
  <c r="A23" i="7"/>
  <c r="A22" i="7"/>
  <c r="A20" i="7"/>
  <c r="A18" i="7"/>
  <c r="Q521" i="2" l="1"/>
  <c r="Q1059" i="2" s="1"/>
  <c r="P1080" i="2"/>
  <c r="P819" i="2" s="1"/>
  <c r="P817" i="2" s="1"/>
  <c r="O810" i="2"/>
  <c r="M52" i="5"/>
  <c r="M94" i="5"/>
  <c r="M78" i="5"/>
  <c r="L69" i="5"/>
  <c r="L73" i="5" s="1"/>
  <c r="B2" i="7"/>
  <c r="Q515" i="2" l="1"/>
  <c r="Q1060" i="2"/>
  <c r="Q1058" i="2"/>
  <c r="Q1056" i="2"/>
  <c r="Q1057" i="2"/>
  <c r="P811" i="2"/>
  <c r="M76" i="5"/>
  <c r="J486" i="4"/>
  <c r="I486" i="4"/>
  <c r="H486" i="4"/>
  <c r="G486" i="4"/>
  <c r="F486" i="4"/>
  <c r="D486" i="4"/>
  <c r="J471" i="4"/>
  <c r="I471" i="4"/>
  <c r="G471" i="4"/>
  <c r="F471" i="4"/>
  <c r="D471" i="4"/>
  <c r="J452" i="4"/>
  <c r="I452" i="4"/>
  <c r="F452" i="4"/>
  <c r="G452" i="4" s="1"/>
  <c r="J440" i="4"/>
  <c r="I440" i="4"/>
  <c r="H440" i="4"/>
  <c r="G440" i="4"/>
  <c r="F440" i="4"/>
  <c r="D440" i="4"/>
  <c r="J425" i="4"/>
  <c r="I425" i="4"/>
  <c r="G425" i="4"/>
  <c r="F425" i="4"/>
  <c r="D425" i="4"/>
  <c r="J406" i="4"/>
  <c r="I406" i="4"/>
  <c r="F406" i="4"/>
  <c r="G406" i="4" s="1"/>
  <c r="J394" i="4"/>
  <c r="I394" i="4"/>
  <c r="H394" i="4"/>
  <c r="G394" i="4"/>
  <c r="F394" i="4"/>
  <c r="D394" i="4"/>
  <c r="J379" i="4"/>
  <c r="I379" i="4"/>
  <c r="G379" i="4"/>
  <c r="F379" i="4"/>
  <c r="D379" i="4"/>
  <c r="J360" i="4"/>
  <c r="I360" i="4"/>
  <c r="F360" i="4"/>
  <c r="G360" i="4" s="1"/>
  <c r="J348" i="4"/>
  <c r="I348" i="4"/>
  <c r="H348" i="4"/>
  <c r="G348" i="4"/>
  <c r="F348" i="4"/>
  <c r="D348" i="4"/>
  <c r="J333" i="4"/>
  <c r="I333" i="4"/>
  <c r="G333" i="4"/>
  <c r="F333" i="4"/>
  <c r="D333" i="4"/>
  <c r="J314" i="4"/>
  <c r="I314" i="4"/>
  <c r="F314" i="4"/>
  <c r="G314" i="4" s="1"/>
  <c r="J302" i="4"/>
  <c r="I302" i="4"/>
  <c r="H302" i="4"/>
  <c r="G302" i="4"/>
  <c r="F302" i="4"/>
  <c r="D302" i="4"/>
  <c r="J287" i="4"/>
  <c r="I287" i="4"/>
  <c r="G287" i="4"/>
  <c r="F287" i="4"/>
  <c r="D287" i="4"/>
  <c r="J268" i="4"/>
  <c r="I268" i="4"/>
  <c r="F268" i="4"/>
  <c r="G268" i="4" s="1"/>
  <c r="P810" i="2" l="1"/>
  <c r="Q1080" i="2"/>
  <c r="Q819" i="2" s="1"/>
  <c r="Q817" i="2" s="1"/>
  <c r="L36" i="7"/>
  <c r="D104" i="27"/>
  <c r="D98" i="27"/>
  <c r="D24" i="27"/>
  <c r="D18" i="27"/>
  <c r="J4" i="46"/>
  <c r="G4" i="46"/>
  <c r="I4" i="46"/>
  <c r="I32" i="9"/>
  <c r="G7" i="46" s="1"/>
  <c r="I22" i="9"/>
  <c r="G6" i="46" s="1"/>
  <c r="Q811" i="2" l="1"/>
  <c r="M69" i="5"/>
  <c r="M73" i="5" s="1"/>
  <c r="O4" i="46"/>
  <c r="I9" i="5"/>
  <c r="J9" i="5" s="1"/>
  <c r="Q9" i="5"/>
  <c r="N9" i="5"/>
  <c r="O9" i="5"/>
  <c r="P9" i="5"/>
  <c r="D491" i="4"/>
  <c r="D492" i="4"/>
  <c r="E35" i="3"/>
  <c r="D303" i="4"/>
  <c r="D395" i="4"/>
  <c r="D487" i="4"/>
  <c r="D349" i="4"/>
  <c r="D441" i="4"/>
  <c r="D351" i="4"/>
  <c r="D443" i="4"/>
  <c r="D305" i="4"/>
  <c r="D397" i="4"/>
  <c r="D489" i="4"/>
  <c r="D352" i="4"/>
  <c r="D490" i="4"/>
  <c r="D444" i="4"/>
  <c r="D306" i="4"/>
  <c r="D398" i="4"/>
  <c r="D442" i="4"/>
  <c r="D396" i="4"/>
  <c r="D304" i="4"/>
  <c r="D350" i="4"/>
  <c r="D488" i="4"/>
  <c r="D400" i="4"/>
  <c r="D446" i="4"/>
  <c r="D399" i="4"/>
  <c r="D445" i="4"/>
  <c r="D308" i="4"/>
  <c r="D354" i="4"/>
  <c r="D307" i="4"/>
  <c r="D353" i="4"/>
  <c r="L4" i="46"/>
  <c r="K4" i="46"/>
  <c r="M4" i="46"/>
  <c r="N4" i="46"/>
  <c r="N64" i="7"/>
  <c r="Q810" i="2" l="1"/>
  <c r="K9" i="5"/>
  <c r="H72" i="5"/>
  <c r="H61" i="5"/>
  <c r="N62" i="7"/>
  <c r="N63" i="7"/>
  <c r="N60" i="7"/>
  <c r="N61" i="7"/>
  <c r="L9" i="5" l="1"/>
  <c r="I78" i="5"/>
  <c r="I72" i="5"/>
  <c r="J3" i="46"/>
  <c r="I3" i="46"/>
  <c r="N78" i="5" l="1"/>
  <c r="N72" i="5"/>
  <c r="K3" i="46"/>
  <c r="O78" i="5" l="1"/>
  <c r="O72" i="5"/>
  <c r="H69" i="5"/>
  <c r="L3" i="46"/>
  <c r="P78" i="5" l="1"/>
  <c r="P72" i="5"/>
  <c r="M3" i="46"/>
  <c r="Q78" i="5" l="1"/>
  <c r="Q72" i="5"/>
  <c r="I69" i="5"/>
  <c r="N3" i="46"/>
  <c r="O3" i="46" l="1"/>
  <c r="H102" i="51" l="1"/>
  <c r="H106" i="51"/>
  <c r="H22" i="51"/>
  <c r="H26" i="51"/>
  <c r="N69" i="5"/>
  <c r="T4" i="46"/>
  <c r="O69" i="5" l="1"/>
  <c r="G3" i="46" l="1"/>
  <c r="P69" i="5" l="1"/>
  <c r="Q69" i="5" l="1"/>
  <c r="E54" i="3" l="1"/>
  <c r="H28" i="31"/>
  <c r="D34" i="4"/>
  <c r="D37" i="4"/>
  <c r="G49" i="7"/>
  <c r="D46" i="38"/>
  <c r="D46" i="37"/>
  <c r="D46" i="36"/>
  <c r="D46" i="34"/>
  <c r="D46" i="33"/>
  <c r="D46" i="32"/>
  <c r="H108" i="31"/>
  <c r="D102" i="31"/>
  <c r="H79" i="31"/>
  <c r="H78" i="31"/>
  <c r="D22" i="31"/>
  <c r="H11" i="31"/>
  <c r="H10" i="31"/>
  <c r="H108" i="30"/>
  <c r="D102" i="30"/>
  <c r="D96" i="30"/>
  <c r="H79" i="30"/>
  <c r="H78" i="30"/>
  <c r="H28" i="30"/>
  <c r="D22" i="30"/>
  <c r="H11" i="30"/>
  <c r="H108" i="29"/>
  <c r="D102" i="29"/>
  <c r="D96" i="29"/>
  <c r="H79" i="29"/>
  <c r="H78" i="29"/>
  <c r="H28" i="29"/>
  <c r="D22" i="29"/>
  <c r="D16" i="29"/>
  <c r="H11" i="29"/>
  <c r="H108" i="28"/>
  <c r="D98" i="28"/>
  <c r="H79" i="28"/>
  <c r="H78" i="28"/>
  <c r="H28" i="28"/>
  <c r="D18" i="28"/>
  <c r="H11" i="28"/>
  <c r="H108" i="27"/>
  <c r="D102" i="27"/>
  <c r="H79" i="27"/>
  <c r="H78" i="27"/>
  <c r="H28" i="27"/>
  <c r="D22" i="27"/>
  <c r="H11" i="27"/>
  <c r="H108" i="26"/>
  <c r="D104" i="26"/>
  <c r="D102" i="26"/>
  <c r="D98" i="26"/>
  <c r="H79" i="26"/>
  <c r="H78" i="26"/>
  <c r="H28" i="26"/>
  <c r="D24" i="26"/>
  <c r="D22" i="26"/>
  <c r="D18" i="26"/>
  <c r="H11" i="26"/>
  <c r="H108" i="25"/>
  <c r="D104" i="25"/>
  <c r="D102" i="25"/>
  <c r="D98" i="25"/>
  <c r="H79" i="25"/>
  <c r="H78" i="25"/>
  <c r="H28" i="25"/>
  <c r="D24" i="25"/>
  <c r="D18" i="25"/>
  <c r="H11" i="25"/>
  <c r="C691" i="24"/>
  <c r="B682" i="24"/>
  <c r="B681" i="24"/>
  <c r="B680" i="24"/>
  <c r="C507" i="24"/>
  <c r="B458" i="24"/>
  <c r="C691" i="23"/>
  <c r="C507" i="23"/>
  <c r="B458" i="23"/>
  <c r="C691" i="22"/>
  <c r="B682" i="22"/>
  <c r="B681" i="22"/>
  <c r="B680" i="22"/>
  <c r="C507" i="22"/>
  <c r="B458" i="22"/>
  <c r="C691" i="21"/>
  <c r="B682" i="21"/>
  <c r="B681" i="21"/>
  <c r="B680" i="21"/>
  <c r="B458" i="21"/>
  <c r="C691" i="20"/>
  <c r="B682" i="20"/>
  <c r="B681" i="20"/>
  <c r="B680" i="20"/>
  <c r="C507" i="20"/>
  <c r="B458" i="20"/>
  <c r="C691" i="19"/>
  <c r="B682" i="19"/>
  <c r="B681" i="19"/>
  <c r="B680" i="19"/>
  <c r="C507" i="19"/>
  <c r="B458" i="19"/>
  <c r="C772" i="18"/>
  <c r="C691" i="18"/>
  <c r="B682" i="18"/>
  <c r="B681" i="18"/>
  <c r="B680" i="18"/>
  <c r="C507" i="18"/>
  <c r="B458" i="18"/>
  <c r="J47" i="17"/>
  <c r="G17" i="17"/>
  <c r="G16" i="17"/>
  <c r="J47" i="16"/>
  <c r="G17" i="16"/>
  <c r="G16" i="16"/>
  <c r="J47" i="15"/>
  <c r="G17" i="15"/>
  <c r="G16" i="15"/>
  <c r="J47" i="14"/>
  <c r="G17" i="14"/>
  <c r="G16" i="14"/>
  <c r="J47" i="13"/>
  <c r="G17" i="13"/>
  <c r="G16" i="13"/>
  <c r="J47" i="12"/>
  <c r="G17" i="12"/>
  <c r="G16" i="12"/>
  <c r="J47" i="11"/>
  <c r="G17" i="11"/>
  <c r="G16" i="11"/>
  <c r="H32" i="9"/>
  <c r="G32" i="9"/>
  <c r="F32" i="9"/>
  <c r="E32" i="9"/>
  <c r="D32" i="9"/>
  <c r="C32" i="9"/>
  <c r="B32" i="9"/>
  <c r="H22" i="9"/>
  <c r="G22" i="9"/>
  <c r="F22" i="9"/>
  <c r="C3" i="6" s="1"/>
  <c r="E22" i="9"/>
  <c r="B1" i="6" s="1"/>
  <c r="D22" i="9"/>
  <c r="A1" i="6" s="1"/>
  <c r="C22" i="9"/>
  <c r="C506" i="2" s="1"/>
  <c r="B22" i="9"/>
  <c r="I12" i="9"/>
  <c r="K2" i="7" s="1"/>
  <c r="H12" i="9"/>
  <c r="K3" i="7" s="1"/>
  <c r="G12" i="9"/>
  <c r="F12" i="9"/>
  <c r="Q16" i="2" s="1"/>
  <c r="E12" i="9"/>
  <c r="D12" i="9"/>
  <c r="J4" i="7" s="1"/>
  <c r="C12" i="9"/>
  <c r="J3" i="7" s="1"/>
  <c r="B12" i="9"/>
  <c r="J2" i="7" s="1"/>
  <c r="H2" i="9"/>
  <c r="G2" i="9"/>
  <c r="F2" i="9"/>
  <c r="V78" i="7"/>
  <c r="D2" i="9"/>
  <c r="C2" i="9"/>
  <c r="B2" i="9"/>
  <c r="A3" i="6" s="1"/>
  <c r="AA178" i="7"/>
  <c r="AB178" i="7" s="1"/>
  <c r="Y178" i="7"/>
  <c r="Z178" i="7" s="1"/>
  <c r="X178" i="7"/>
  <c r="V178" i="7" s="1"/>
  <c r="AA177" i="7"/>
  <c r="AB177" i="7" s="1"/>
  <c r="Y177" i="7"/>
  <c r="X177" i="7"/>
  <c r="V177" i="7" s="1"/>
  <c r="AA176" i="7"/>
  <c r="AB176" i="7" s="1"/>
  <c r="Y176" i="7"/>
  <c r="AF176" i="7" s="1"/>
  <c r="X176" i="7"/>
  <c r="V176" i="7" s="1"/>
  <c r="AA175" i="7"/>
  <c r="AB175" i="7" s="1"/>
  <c r="Y175" i="7"/>
  <c r="AF175" i="7" s="1"/>
  <c r="X175" i="7"/>
  <c r="V175" i="7" s="1"/>
  <c r="AA174" i="7"/>
  <c r="AB174" i="7" s="1"/>
  <c r="Y174" i="7"/>
  <c r="Z174" i="7" s="1"/>
  <c r="X174" i="7"/>
  <c r="V174" i="7" s="1"/>
  <c r="AA173" i="7"/>
  <c r="AB173" i="7" s="1"/>
  <c r="Y173" i="7"/>
  <c r="AD173" i="7" s="1"/>
  <c r="X173" i="7"/>
  <c r="V173" i="7" s="1"/>
  <c r="AA172" i="7"/>
  <c r="AB172" i="7" s="1"/>
  <c r="Y172" i="7"/>
  <c r="Z172" i="7" s="1"/>
  <c r="X172" i="7"/>
  <c r="V172" i="7" s="1"/>
  <c r="AA171" i="7"/>
  <c r="AB171" i="7" s="1"/>
  <c r="Y171" i="7"/>
  <c r="AF171" i="7" s="1"/>
  <c r="X171" i="7"/>
  <c r="V171" i="7" s="1"/>
  <c r="AA170" i="7"/>
  <c r="AB170" i="7" s="1"/>
  <c r="Y170" i="7"/>
  <c r="AE170" i="7" s="1"/>
  <c r="X170" i="7"/>
  <c r="V170" i="7" s="1"/>
  <c r="AA169" i="7"/>
  <c r="AB169" i="7" s="1"/>
  <c r="Y169" i="7"/>
  <c r="AF169" i="7" s="1"/>
  <c r="X169" i="7"/>
  <c r="V169" i="7" s="1"/>
  <c r="AA168" i="7"/>
  <c r="AB168" i="7" s="1"/>
  <c r="Y168" i="7"/>
  <c r="AF168" i="7" s="1"/>
  <c r="X168" i="7"/>
  <c r="V168" i="7" s="1"/>
  <c r="AA167" i="7"/>
  <c r="AB167" i="7" s="1"/>
  <c r="Y167" i="7"/>
  <c r="AF167" i="7" s="1"/>
  <c r="X167" i="7"/>
  <c r="V167" i="7" s="1"/>
  <c r="AA166" i="7"/>
  <c r="AB166" i="7" s="1"/>
  <c r="Y166" i="7"/>
  <c r="AD166" i="7" s="1"/>
  <c r="X166" i="7"/>
  <c r="V166" i="7" s="1"/>
  <c r="AA165" i="7"/>
  <c r="AB165" i="7" s="1"/>
  <c r="Y165" i="7"/>
  <c r="AF165" i="7" s="1"/>
  <c r="X165" i="7"/>
  <c r="V165" i="7" s="1"/>
  <c r="AA164" i="7"/>
  <c r="AB164" i="7" s="1"/>
  <c r="Y164" i="7"/>
  <c r="X164" i="7"/>
  <c r="V164" i="7" s="1"/>
  <c r="AA163" i="7"/>
  <c r="AB163" i="7" s="1"/>
  <c r="Y163" i="7"/>
  <c r="AF163" i="7" s="1"/>
  <c r="X163" i="7"/>
  <c r="V163" i="7" s="1"/>
  <c r="AA162" i="7"/>
  <c r="AB162" i="7" s="1"/>
  <c r="Y162" i="7"/>
  <c r="X162" i="7"/>
  <c r="V162" i="7" s="1"/>
  <c r="AA161" i="7"/>
  <c r="AB161" i="7" s="1"/>
  <c r="Y161" i="7"/>
  <c r="AF161" i="7" s="1"/>
  <c r="X161" i="7"/>
  <c r="V161" i="7" s="1"/>
  <c r="AA160" i="7"/>
  <c r="AB160" i="7" s="1"/>
  <c r="Y160" i="7"/>
  <c r="AE160" i="7" s="1"/>
  <c r="X160" i="7"/>
  <c r="V160" i="7" s="1"/>
  <c r="AA159" i="7"/>
  <c r="AB159" i="7" s="1"/>
  <c r="Y159" i="7"/>
  <c r="AF159" i="7" s="1"/>
  <c r="X159" i="7"/>
  <c r="V159" i="7" s="1"/>
  <c r="AA158" i="7"/>
  <c r="AB158" i="7" s="1"/>
  <c r="Y158" i="7"/>
  <c r="X158" i="7"/>
  <c r="V158" i="7" s="1"/>
  <c r="AA157" i="7"/>
  <c r="AB157" i="7" s="1"/>
  <c r="Y157" i="7"/>
  <c r="AF157" i="7" s="1"/>
  <c r="X157" i="7"/>
  <c r="V157" i="7" s="1"/>
  <c r="AA156" i="7"/>
  <c r="AB156" i="7" s="1"/>
  <c r="Y156" i="7"/>
  <c r="AF156" i="7" s="1"/>
  <c r="X156" i="7"/>
  <c r="V156" i="7" s="1"/>
  <c r="AA155" i="7"/>
  <c r="AB155" i="7" s="1"/>
  <c r="Y155" i="7"/>
  <c r="AF155" i="7" s="1"/>
  <c r="X155" i="7"/>
  <c r="V155" i="7" s="1"/>
  <c r="AA154" i="7"/>
  <c r="AB154" i="7" s="1"/>
  <c r="Y154" i="7"/>
  <c r="AE154" i="7" s="1"/>
  <c r="X154" i="7"/>
  <c r="V154" i="7" s="1"/>
  <c r="AA153" i="7"/>
  <c r="AB153" i="7" s="1"/>
  <c r="Y153" i="7"/>
  <c r="AF153" i="7" s="1"/>
  <c r="X153" i="7"/>
  <c r="V153" i="7" s="1"/>
  <c r="AA152" i="7"/>
  <c r="AB152" i="7" s="1"/>
  <c r="Y152" i="7"/>
  <c r="AF152" i="7" s="1"/>
  <c r="X152" i="7"/>
  <c r="V152" i="7" s="1"/>
  <c r="AA151" i="7"/>
  <c r="AB151" i="7" s="1"/>
  <c r="Y151" i="7"/>
  <c r="AF151" i="7" s="1"/>
  <c r="X151" i="7"/>
  <c r="V151" i="7" s="1"/>
  <c r="AA150" i="7"/>
  <c r="AB150" i="7" s="1"/>
  <c r="Y150" i="7"/>
  <c r="AD150" i="7" s="1"/>
  <c r="X150" i="7"/>
  <c r="V150" i="7" s="1"/>
  <c r="AA149" i="7"/>
  <c r="AB149" i="7" s="1"/>
  <c r="Y149" i="7"/>
  <c r="AF149" i="7" s="1"/>
  <c r="X149" i="7"/>
  <c r="V149" i="7" s="1"/>
  <c r="AA148" i="7"/>
  <c r="AB148" i="7" s="1"/>
  <c r="Y148" i="7"/>
  <c r="AC148" i="7" s="1"/>
  <c r="X148" i="7"/>
  <c r="V148" i="7" s="1"/>
  <c r="AA147" i="7"/>
  <c r="AB147" i="7" s="1"/>
  <c r="Y147" i="7"/>
  <c r="X147" i="7"/>
  <c r="V147" i="7" s="1"/>
  <c r="AA146" i="7"/>
  <c r="AB146" i="7" s="1"/>
  <c r="Y146" i="7"/>
  <c r="Z146" i="7" s="1"/>
  <c r="X146" i="7"/>
  <c r="V146" i="7" s="1"/>
  <c r="AA145" i="7"/>
  <c r="AB145" i="7" s="1"/>
  <c r="Y145" i="7"/>
  <c r="AD145" i="7" s="1"/>
  <c r="X145" i="7"/>
  <c r="V145" i="7" s="1"/>
  <c r="AA144" i="7"/>
  <c r="AB144" i="7" s="1"/>
  <c r="Y144" i="7"/>
  <c r="Z144" i="7" s="1"/>
  <c r="X144" i="7"/>
  <c r="V144" i="7" s="1"/>
  <c r="AA143" i="7"/>
  <c r="AB143" i="7" s="1"/>
  <c r="Y143" i="7"/>
  <c r="AE143" i="7" s="1"/>
  <c r="X143" i="7"/>
  <c r="V143" i="7" s="1"/>
  <c r="AA142" i="7"/>
  <c r="AB142" i="7" s="1"/>
  <c r="Y142" i="7"/>
  <c r="AE142" i="7" s="1"/>
  <c r="X142" i="7"/>
  <c r="V142" i="7" s="1"/>
  <c r="AA141" i="7"/>
  <c r="AB141" i="7" s="1"/>
  <c r="Y141" i="7"/>
  <c r="AF141" i="7" s="1"/>
  <c r="X141" i="7"/>
  <c r="V141" i="7" s="1"/>
  <c r="AA140" i="7"/>
  <c r="AB140" i="7" s="1"/>
  <c r="Y140" i="7"/>
  <c r="AE140" i="7" s="1"/>
  <c r="X140" i="7"/>
  <c r="V140" i="7" s="1"/>
  <c r="AA139" i="7"/>
  <c r="AB139" i="7" s="1"/>
  <c r="Y139" i="7"/>
  <c r="X139" i="7"/>
  <c r="V139" i="7" s="1"/>
  <c r="AA138" i="7"/>
  <c r="AB138" i="7" s="1"/>
  <c r="Y138" i="7"/>
  <c r="Z138" i="7" s="1"/>
  <c r="X138" i="7"/>
  <c r="V138" i="7" s="1"/>
  <c r="AA137" i="7"/>
  <c r="AB137" i="7" s="1"/>
  <c r="Y137" i="7"/>
  <c r="AD137" i="7" s="1"/>
  <c r="X137" i="7"/>
  <c r="V137" i="7" s="1"/>
  <c r="AA136" i="7"/>
  <c r="AB136" i="7" s="1"/>
  <c r="Y136" i="7"/>
  <c r="AD136" i="7" s="1"/>
  <c r="X136" i="7"/>
  <c r="V136" i="7" s="1"/>
  <c r="AA135" i="7"/>
  <c r="AB135" i="7" s="1"/>
  <c r="Y135" i="7"/>
  <c r="AE135" i="7" s="1"/>
  <c r="X135" i="7"/>
  <c r="V135" i="7" s="1"/>
  <c r="AA134" i="7"/>
  <c r="AB134" i="7" s="1"/>
  <c r="Y134" i="7"/>
  <c r="X134" i="7"/>
  <c r="V134" i="7" s="1"/>
  <c r="AA133" i="7"/>
  <c r="AB133" i="7" s="1"/>
  <c r="Y133" i="7"/>
  <c r="AF133" i="7" s="1"/>
  <c r="X133" i="7"/>
  <c r="V133" i="7" s="1"/>
  <c r="AA132" i="7"/>
  <c r="AB132" i="7" s="1"/>
  <c r="Y132" i="7"/>
  <c r="AF132" i="7" s="1"/>
  <c r="X132" i="7"/>
  <c r="V132" i="7" s="1"/>
  <c r="AA131" i="7"/>
  <c r="AB131" i="7" s="1"/>
  <c r="Y131" i="7"/>
  <c r="X131" i="7"/>
  <c r="V131" i="7" s="1"/>
  <c r="AA130" i="7"/>
  <c r="AB130" i="7" s="1"/>
  <c r="Y130" i="7"/>
  <c r="AE130" i="7" s="1"/>
  <c r="X130" i="7"/>
  <c r="V130" i="7" s="1"/>
  <c r="AA129" i="7"/>
  <c r="AB129" i="7" s="1"/>
  <c r="Y129" i="7"/>
  <c r="AD129" i="7" s="1"/>
  <c r="X129" i="7"/>
  <c r="V129" i="7" s="1"/>
  <c r="AA128" i="7"/>
  <c r="AB128" i="7" s="1"/>
  <c r="Y128" i="7"/>
  <c r="AF128" i="7" s="1"/>
  <c r="X128" i="7"/>
  <c r="V128" i="7" s="1"/>
  <c r="AA127" i="7"/>
  <c r="AB127" i="7" s="1"/>
  <c r="Y127" i="7"/>
  <c r="Z127" i="7" s="1"/>
  <c r="X127" i="7"/>
  <c r="V127" i="7" s="1"/>
  <c r="AA126" i="7"/>
  <c r="AB126" i="7" s="1"/>
  <c r="Y126" i="7"/>
  <c r="AF126" i="7" s="1"/>
  <c r="X126" i="7"/>
  <c r="V126" i="7" s="1"/>
  <c r="AA125" i="7"/>
  <c r="AB125" i="7" s="1"/>
  <c r="Y125" i="7"/>
  <c r="AF125" i="7" s="1"/>
  <c r="X125" i="7"/>
  <c r="V125" i="7" s="1"/>
  <c r="AA124" i="7"/>
  <c r="AB124" i="7" s="1"/>
  <c r="Y124" i="7"/>
  <c r="AF124" i="7" s="1"/>
  <c r="X124" i="7"/>
  <c r="V124" i="7" s="1"/>
  <c r="AA123" i="7"/>
  <c r="AB123" i="7" s="1"/>
  <c r="Y123" i="7"/>
  <c r="AD123" i="7" s="1"/>
  <c r="X123" i="7"/>
  <c r="V123" i="7" s="1"/>
  <c r="AA122" i="7"/>
  <c r="AB122" i="7" s="1"/>
  <c r="Y122" i="7"/>
  <c r="X122" i="7"/>
  <c r="V122" i="7" s="1"/>
  <c r="AA121" i="7"/>
  <c r="AB121" i="7" s="1"/>
  <c r="Y121" i="7"/>
  <c r="AF121" i="7" s="1"/>
  <c r="X121" i="7"/>
  <c r="V121" i="7" s="1"/>
  <c r="AA120" i="7"/>
  <c r="AB120" i="7" s="1"/>
  <c r="Y120" i="7"/>
  <c r="AD120" i="7" s="1"/>
  <c r="X120" i="7"/>
  <c r="V120" i="7" s="1"/>
  <c r="AA119" i="7"/>
  <c r="AB119" i="7" s="1"/>
  <c r="Y119" i="7"/>
  <c r="Z119" i="7" s="1"/>
  <c r="X119" i="7"/>
  <c r="V119" i="7" s="1"/>
  <c r="AA118" i="7"/>
  <c r="AB118" i="7" s="1"/>
  <c r="Y118" i="7"/>
  <c r="AE118" i="7" s="1"/>
  <c r="X118" i="7"/>
  <c r="V118" i="7" s="1"/>
  <c r="AA117" i="7"/>
  <c r="AB117" i="7" s="1"/>
  <c r="Y117" i="7"/>
  <c r="AC117" i="7" s="1"/>
  <c r="X117" i="7"/>
  <c r="V117" i="7" s="1"/>
  <c r="AA116" i="7"/>
  <c r="AB116" i="7" s="1"/>
  <c r="Y116" i="7"/>
  <c r="AE116" i="7" s="1"/>
  <c r="X116" i="7"/>
  <c r="V116" i="7" s="1"/>
  <c r="AA115" i="7"/>
  <c r="AB115" i="7" s="1"/>
  <c r="Y115" i="7"/>
  <c r="X115" i="7"/>
  <c r="V115" i="7" s="1"/>
  <c r="AA114" i="7"/>
  <c r="AB114" i="7" s="1"/>
  <c r="Y114" i="7"/>
  <c r="AC114" i="7" s="1"/>
  <c r="X114" i="7"/>
  <c r="V114" i="7" s="1"/>
  <c r="AA113" i="7"/>
  <c r="AB113" i="7" s="1"/>
  <c r="Y113" i="7"/>
  <c r="AF113" i="7" s="1"/>
  <c r="X113" i="7"/>
  <c r="V113" i="7" s="1"/>
  <c r="AA112" i="7"/>
  <c r="AB112" i="7" s="1"/>
  <c r="Y112" i="7"/>
  <c r="X112" i="7"/>
  <c r="V112" i="7" s="1"/>
  <c r="AA111" i="7"/>
  <c r="AB111" i="7" s="1"/>
  <c r="Y111" i="7"/>
  <c r="AC111" i="7" s="1"/>
  <c r="X111" i="7"/>
  <c r="V111" i="7" s="1"/>
  <c r="AA110" i="7"/>
  <c r="AB110" i="7" s="1"/>
  <c r="Y110" i="7"/>
  <c r="AC110" i="7" s="1"/>
  <c r="X110" i="7"/>
  <c r="V110" i="7" s="1"/>
  <c r="AA109" i="7"/>
  <c r="AB109" i="7" s="1"/>
  <c r="Y109" i="7"/>
  <c r="Z109" i="7" s="1"/>
  <c r="X109" i="7"/>
  <c r="V109" i="7" s="1"/>
  <c r="AA108" i="7"/>
  <c r="AB108" i="7" s="1"/>
  <c r="Y108" i="7"/>
  <c r="AD108" i="7" s="1"/>
  <c r="X108" i="7"/>
  <c r="V108" i="7" s="1"/>
  <c r="AA107" i="7"/>
  <c r="AB107" i="7" s="1"/>
  <c r="Y107" i="7"/>
  <c r="AF107" i="7" s="1"/>
  <c r="X107" i="7"/>
  <c r="V107" i="7" s="1"/>
  <c r="AA106" i="7"/>
  <c r="AB106" i="7" s="1"/>
  <c r="Y106" i="7"/>
  <c r="AE106" i="7" s="1"/>
  <c r="X106" i="7"/>
  <c r="V106" i="7" s="1"/>
  <c r="AA105" i="7"/>
  <c r="AB105" i="7" s="1"/>
  <c r="Y105" i="7"/>
  <c r="AF105" i="7" s="1"/>
  <c r="X105" i="7"/>
  <c r="V105" i="7" s="1"/>
  <c r="AA104" i="7"/>
  <c r="AB104" i="7" s="1"/>
  <c r="Y104" i="7"/>
  <c r="X104" i="7"/>
  <c r="V104" i="7" s="1"/>
  <c r="AA103" i="7"/>
  <c r="AB103" i="7" s="1"/>
  <c r="Y103" i="7"/>
  <c r="Z103" i="7" s="1"/>
  <c r="X103" i="7"/>
  <c r="V103" i="7" s="1"/>
  <c r="AA102" i="7"/>
  <c r="AB102" i="7" s="1"/>
  <c r="Y102" i="7"/>
  <c r="AE102" i="7" s="1"/>
  <c r="X102" i="7"/>
  <c r="V102" i="7" s="1"/>
  <c r="AA101" i="7"/>
  <c r="AB101" i="7" s="1"/>
  <c r="Y101" i="7"/>
  <c r="AF101" i="7" s="1"/>
  <c r="X101" i="7"/>
  <c r="V101" i="7" s="1"/>
  <c r="AA100" i="7"/>
  <c r="AB100" i="7" s="1"/>
  <c r="Y100" i="7"/>
  <c r="AC100" i="7" s="1"/>
  <c r="X100" i="7"/>
  <c r="V100" i="7" s="1"/>
  <c r="AA99" i="7"/>
  <c r="AB99" i="7" s="1"/>
  <c r="Y99" i="7"/>
  <c r="X99" i="7"/>
  <c r="V99" i="7" s="1"/>
  <c r="AA98" i="7"/>
  <c r="AB98" i="7" s="1"/>
  <c r="Y98" i="7"/>
  <c r="AC98" i="7" s="1"/>
  <c r="X98" i="7"/>
  <c r="V98" i="7" s="1"/>
  <c r="AA97" i="7"/>
  <c r="AB97" i="7" s="1"/>
  <c r="Y97" i="7"/>
  <c r="Z97" i="7" s="1"/>
  <c r="X97" i="7"/>
  <c r="V97" i="7" s="1"/>
  <c r="AA96" i="7"/>
  <c r="AB96" i="7" s="1"/>
  <c r="Y96" i="7"/>
  <c r="AF96" i="7" s="1"/>
  <c r="X96" i="7"/>
  <c r="V96" i="7" s="1"/>
  <c r="AA95" i="7"/>
  <c r="AB95" i="7" s="1"/>
  <c r="Y95" i="7"/>
  <c r="AD95" i="7" s="1"/>
  <c r="X95" i="7"/>
  <c r="V95" i="7" s="1"/>
  <c r="AA94" i="7"/>
  <c r="AB94" i="7" s="1"/>
  <c r="Y94" i="7"/>
  <c r="AC94" i="7" s="1"/>
  <c r="X94" i="7"/>
  <c r="V94" i="7" s="1"/>
  <c r="AA93" i="7"/>
  <c r="AB93" i="7" s="1"/>
  <c r="Y93" i="7"/>
  <c r="Z93" i="7" s="1"/>
  <c r="X93" i="7"/>
  <c r="V93" i="7" s="1"/>
  <c r="AA92" i="7"/>
  <c r="AB92" i="7" s="1"/>
  <c r="Y92" i="7"/>
  <c r="AD92" i="7" s="1"/>
  <c r="X92" i="7"/>
  <c r="V92" i="7" s="1"/>
  <c r="AA91" i="7"/>
  <c r="AB91" i="7" s="1"/>
  <c r="Y91" i="7"/>
  <c r="X91" i="7"/>
  <c r="V91" i="7" s="1"/>
  <c r="AA90" i="7"/>
  <c r="AB90" i="7" s="1"/>
  <c r="Y90" i="7"/>
  <c r="AF90" i="7" s="1"/>
  <c r="X90" i="7"/>
  <c r="V90" i="7" s="1"/>
  <c r="AA89" i="7"/>
  <c r="AB89" i="7" s="1"/>
  <c r="Y89" i="7"/>
  <c r="AD89" i="7" s="1"/>
  <c r="X89" i="7"/>
  <c r="V89" i="7" s="1"/>
  <c r="AA88" i="7"/>
  <c r="AB88" i="7" s="1"/>
  <c r="Y88" i="7"/>
  <c r="AD88" i="7" s="1"/>
  <c r="X88" i="7"/>
  <c r="V88" i="7" s="1"/>
  <c r="AA87" i="7"/>
  <c r="AB87" i="7" s="1"/>
  <c r="Y87" i="7"/>
  <c r="AD87" i="7" s="1"/>
  <c r="X87" i="7"/>
  <c r="V87" i="7" s="1"/>
  <c r="AA86" i="7"/>
  <c r="AB86" i="7" s="1"/>
  <c r="Y86" i="7"/>
  <c r="AC86" i="7" s="1"/>
  <c r="X86" i="7"/>
  <c r="V86" i="7" s="1"/>
  <c r="AA85" i="7"/>
  <c r="AB85" i="7" s="1"/>
  <c r="Y85" i="7"/>
  <c r="AD85" i="7" s="1"/>
  <c r="X85" i="7"/>
  <c r="V85" i="7" s="1"/>
  <c r="AA84" i="7"/>
  <c r="AB84" i="7" s="1"/>
  <c r="Y84" i="7"/>
  <c r="AD84" i="7" s="1"/>
  <c r="X84" i="7"/>
  <c r="V84" i="7" s="1"/>
  <c r="AA83" i="7"/>
  <c r="AB83" i="7" s="1"/>
  <c r="Y83" i="7"/>
  <c r="Z83" i="7" s="1"/>
  <c r="X83" i="7"/>
  <c r="V83" i="7" s="1"/>
  <c r="AA82" i="7"/>
  <c r="AB82" i="7" s="1"/>
  <c r="Y82" i="7"/>
  <c r="AF82" i="7" s="1"/>
  <c r="X82" i="7"/>
  <c r="V82" i="7" s="1"/>
  <c r="AA81" i="7"/>
  <c r="AB81" i="7" s="1"/>
  <c r="Y81" i="7"/>
  <c r="AC81" i="7" s="1"/>
  <c r="X81" i="7"/>
  <c r="V81" i="7" s="1"/>
  <c r="AA80" i="7"/>
  <c r="AB80" i="7" s="1"/>
  <c r="Y80" i="7"/>
  <c r="AC80" i="7" s="1"/>
  <c r="X80" i="7"/>
  <c r="V80" i="7" s="1"/>
  <c r="AA79" i="7"/>
  <c r="AB79" i="7" s="1"/>
  <c r="Y79" i="7"/>
  <c r="Z79" i="7" s="1"/>
  <c r="X79" i="7"/>
  <c r="V79" i="7" s="1"/>
  <c r="AB75" i="7"/>
  <c r="AA75" i="7"/>
  <c r="Z75" i="7"/>
  <c r="Y75" i="7"/>
  <c r="W75" i="7"/>
  <c r="V75" i="7"/>
  <c r="AB74" i="7"/>
  <c r="AA74" i="7"/>
  <c r="Z74" i="7"/>
  <c r="Y74" i="7"/>
  <c r="W74" i="7"/>
  <c r="V74" i="7"/>
  <c r="AB73" i="7"/>
  <c r="AA73" i="7"/>
  <c r="Z73" i="7"/>
  <c r="Y73" i="7"/>
  <c r="W73" i="7"/>
  <c r="V73" i="7"/>
  <c r="AB72" i="7"/>
  <c r="AA72" i="7"/>
  <c r="Z72" i="7"/>
  <c r="Y72" i="7"/>
  <c r="W72" i="7"/>
  <c r="V72" i="7"/>
  <c r="O74" i="7"/>
  <c r="AB71" i="7"/>
  <c r="AA71" i="7"/>
  <c r="Z71" i="7"/>
  <c r="Y71" i="7"/>
  <c r="W71" i="7"/>
  <c r="V71" i="7"/>
  <c r="O73" i="7"/>
  <c r="AB70" i="7"/>
  <c r="AA70" i="7"/>
  <c r="Z70" i="7"/>
  <c r="Y70" i="7"/>
  <c r="W70" i="7"/>
  <c r="V70" i="7"/>
  <c r="O72" i="7"/>
  <c r="AB69" i="7"/>
  <c r="AA69" i="7"/>
  <c r="Z69" i="7"/>
  <c r="Y69" i="7"/>
  <c r="W69" i="7"/>
  <c r="V69" i="7"/>
  <c r="O71" i="7"/>
  <c r="AB68" i="7"/>
  <c r="AA68" i="7"/>
  <c r="Z68" i="7"/>
  <c r="Y68" i="7"/>
  <c r="W68" i="7"/>
  <c r="V68" i="7"/>
  <c r="O70" i="7"/>
  <c r="AB67" i="7"/>
  <c r="AA67" i="7"/>
  <c r="Z67" i="7"/>
  <c r="Y67" i="7"/>
  <c r="W67" i="7"/>
  <c r="V67" i="7"/>
  <c r="O69" i="7"/>
  <c r="AB66" i="7"/>
  <c r="AA66" i="7"/>
  <c r="Z66" i="7"/>
  <c r="Y66" i="7"/>
  <c r="W66" i="7"/>
  <c r="V66" i="7"/>
  <c r="O68" i="7"/>
  <c r="AB65" i="7"/>
  <c r="AA65" i="7"/>
  <c r="Z65" i="7"/>
  <c r="Y65" i="7"/>
  <c r="W65" i="7"/>
  <c r="V65" i="7"/>
  <c r="O67" i="7"/>
  <c r="AB64" i="7"/>
  <c r="AA64" i="7"/>
  <c r="Z64" i="7"/>
  <c r="Y64" i="7"/>
  <c r="W64" i="7"/>
  <c r="V64" i="7"/>
  <c r="O66" i="7"/>
  <c r="AB63" i="7"/>
  <c r="AA63" i="7"/>
  <c r="Z63" i="7"/>
  <c r="Y63" i="7"/>
  <c r="W63" i="7"/>
  <c r="V63" i="7"/>
  <c r="O65" i="7"/>
  <c r="AB62" i="7"/>
  <c r="AA62" i="7"/>
  <c r="Z62" i="7"/>
  <c r="Y62" i="7"/>
  <c r="W62" i="7"/>
  <c r="V62" i="7"/>
  <c r="O64" i="7"/>
  <c r="AB61" i="7"/>
  <c r="AA61" i="7"/>
  <c r="Z61" i="7"/>
  <c r="Y61" i="7"/>
  <c r="W61" i="7"/>
  <c r="V61" i="7"/>
  <c r="O63" i="7"/>
  <c r="AB60" i="7"/>
  <c r="AA60" i="7"/>
  <c r="Z60" i="7"/>
  <c r="Y60" i="7"/>
  <c r="W60" i="7"/>
  <c r="V60" i="7"/>
  <c r="O62" i="7"/>
  <c r="AB59" i="7"/>
  <c r="AA59" i="7"/>
  <c r="Z59" i="7"/>
  <c r="Y59" i="7"/>
  <c r="W59" i="7"/>
  <c r="V59" i="7"/>
  <c r="O61" i="7"/>
  <c r="AB58" i="7"/>
  <c r="AA58" i="7"/>
  <c r="Z58" i="7"/>
  <c r="Y58" i="7"/>
  <c r="W58" i="7"/>
  <c r="V58" i="7"/>
  <c r="O60" i="7"/>
  <c r="AB57" i="7"/>
  <c r="AA57" i="7"/>
  <c r="Z57" i="7"/>
  <c r="Y57" i="7"/>
  <c r="W57" i="7"/>
  <c r="V57" i="7"/>
  <c r="O59" i="7"/>
  <c r="AB56" i="7"/>
  <c r="AA56" i="7"/>
  <c r="Z56" i="7"/>
  <c r="Y56" i="7"/>
  <c r="W56" i="7"/>
  <c r="V56" i="7"/>
  <c r="O58" i="7"/>
  <c r="AB55" i="7"/>
  <c r="AA55" i="7"/>
  <c r="Z55" i="7"/>
  <c r="Y55" i="7"/>
  <c r="W55" i="7"/>
  <c r="V55" i="7"/>
  <c r="O57" i="7"/>
  <c r="AB54" i="7"/>
  <c r="AA54" i="7"/>
  <c r="Z54" i="7"/>
  <c r="Y54" i="7"/>
  <c r="W54" i="7"/>
  <c r="V54" i="7"/>
  <c r="O56" i="7"/>
  <c r="N59" i="7"/>
  <c r="AB53" i="7"/>
  <c r="AA53" i="7"/>
  <c r="Z53" i="7"/>
  <c r="Y53" i="7"/>
  <c r="W53" i="7"/>
  <c r="V53" i="7"/>
  <c r="O55" i="7"/>
  <c r="N58" i="7"/>
  <c r="E486" i="4" s="1"/>
  <c r="AB52" i="7"/>
  <c r="AA52" i="7"/>
  <c r="Z52" i="7"/>
  <c r="Y52" i="7"/>
  <c r="W52" i="7"/>
  <c r="V52" i="7"/>
  <c r="O54" i="7"/>
  <c r="N57" i="7"/>
  <c r="AB51" i="7"/>
  <c r="AA51" i="7"/>
  <c r="Z51" i="7"/>
  <c r="Y51" i="7"/>
  <c r="W51" i="7"/>
  <c r="V51" i="7"/>
  <c r="O53" i="7"/>
  <c r="N56" i="7"/>
  <c r="E166" i="4" s="1"/>
  <c r="AB50" i="7"/>
  <c r="AA50" i="7"/>
  <c r="Z50" i="7"/>
  <c r="Y50" i="7"/>
  <c r="W50" i="7"/>
  <c r="V50" i="7"/>
  <c r="O52" i="7"/>
  <c r="N55" i="7"/>
  <c r="E122" i="4" s="1"/>
  <c r="AB49" i="7"/>
  <c r="AA49" i="7"/>
  <c r="Z49" i="7"/>
  <c r="Y49" i="7"/>
  <c r="W49" i="7"/>
  <c r="V49" i="7"/>
  <c r="O51" i="7"/>
  <c r="N54" i="7"/>
  <c r="E78" i="4" s="1"/>
  <c r="AB48" i="7"/>
  <c r="AA48" i="7"/>
  <c r="Z48" i="7"/>
  <c r="Y48" i="7"/>
  <c r="W48" i="7"/>
  <c r="V48" i="7"/>
  <c r="O50" i="7"/>
  <c r="G48" i="7"/>
  <c r="AB47" i="7"/>
  <c r="AA47" i="7"/>
  <c r="Z47" i="7"/>
  <c r="Y47" i="7"/>
  <c r="W47" i="7"/>
  <c r="V47" i="7"/>
  <c r="O49" i="7"/>
  <c r="AB46" i="7"/>
  <c r="AA46" i="7"/>
  <c r="Z46" i="7"/>
  <c r="Y46" i="7"/>
  <c r="W46" i="7"/>
  <c r="V46" i="7"/>
  <c r="O48" i="7"/>
  <c r="O47" i="7"/>
  <c r="L41" i="7"/>
  <c r="L40" i="7"/>
  <c r="G40" i="7"/>
  <c r="G41" i="7" s="1"/>
  <c r="G46" i="7" s="1"/>
  <c r="L39" i="7"/>
  <c r="L38" i="7"/>
  <c r="L37" i="7"/>
  <c r="L35" i="7"/>
  <c r="L34" i="7"/>
  <c r="L33" i="7"/>
  <c r="L32" i="7"/>
  <c r="L31" i="7"/>
  <c r="L30" i="7"/>
  <c r="L29" i="7"/>
  <c r="A33" i="7"/>
  <c r="A35" i="7" s="1"/>
  <c r="A31" i="7"/>
  <c r="A27" i="7"/>
  <c r="A25" i="7"/>
  <c r="A24" i="7"/>
  <c r="A21" i="7"/>
  <c r="A19" i="7"/>
  <c r="C17" i="7"/>
  <c r="A17" i="7"/>
  <c r="I18" i="7"/>
  <c r="A16" i="7"/>
  <c r="X13" i="7"/>
  <c r="I13" i="7"/>
  <c r="D9" i="4" s="1"/>
  <c r="H455" i="4"/>
  <c r="B4" i="7"/>
  <c r="C1" i="7"/>
  <c r="Q103" i="5"/>
  <c r="P103" i="5"/>
  <c r="O103" i="5"/>
  <c r="N103" i="5"/>
  <c r="H103" i="5"/>
  <c r="I103" i="5" s="1"/>
  <c r="J103" i="5" s="1"/>
  <c r="K103" i="5" s="1"/>
  <c r="L103" i="5" s="1"/>
  <c r="Q101" i="5"/>
  <c r="P101" i="5"/>
  <c r="O101" i="5"/>
  <c r="N101" i="5"/>
  <c r="H101" i="5"/>
  <c r="I101" i="5" s="1"/>
  <c r="J101" i="5" s="1"/>
  <c r="K101" i="5" s="1"/>
  <c r="L101" i="5" s="1"/>
  <c r="C37" i="5"/>
  <c r="C36" i="5"/>
  <c r="H34" i="5"/>
  <c r="C30" i="5"/>
  <c r="C25" i="5"/>
  <c r="C21" i="5"/>
  <c r="C16" i="5"/>
  <c r="Q12" i="5"/>
  <c r="P12" i="5"/>
  <c r="O12" i="5"/>
  <c r="N12" i="5"/>
  <c r="I12" i="5"/>
  <c r="J12" i="5" s="1"/>
  <c r="K12" i="5" s="1"/>
  <c r="L12" i="5" s="1"/>
  <c r="Q11" i="5"/>
  <c r="P11" i="5"/>
  <c r="O11" i="5"/>
  <c r="N11" i="5"/>
  <c r="I11" i="5"/>
  <c r="J11" i="5" s="1"/>
  <c r="K11" i="5" s="1"/>
  <c r="L11" i="5" s="1"/>
  <c r="G5" i="5"/>
  <c r="G84" i="5" s="1"/>
  <c r="C5" i="5"/>
  <c r="C84" i="5" s="1"/>
  <c r="J256" i="4"/>
  <c r="I256" i="4"/>
  <c r="H256" i="4"/>
  <c r="G256" i="4"/>
  <c r="F256" i="4"/>
  <c r="D256" i="4"/>
  <c r="J241" i="4"/>
  <c r="I241" i="4"/>
  <c r="G241" i="4"/>
  <c r="F241" i="4"/>
  <c r="D241" i="4"/>
  <c r="J222" i="4"/>
  <c r="I222" i="4"/>
  <c r="F222" i="4"/>
  <c r="G222" i="4" s="1"/>
  <c r="J210" i="4"/>
  <c r="I210" i="4"/>
  <c r="H210" i="4"/>
  <c r="G210" i="4"/>
  <c r="F210" i="4"/>
  <c r="D210" i="4"/>
  <c r="J195" i="4"/>
  <c r="I195" i="4"/>
  <c r="G195" i="4"/>
  <c r="F195" i="4"/>
  <c r="D195" i="4"/>
  <c r="J178" i="4"/>
  <c r="I178" i="4"/>
  <c r="F178" i="4"/>
  <c r="G178" i="4" s="1"/>
  <c r="J166" i="4"/>
  <c r="I166" i="4"/>
  <c r="H166" i="4"/>
  <c r="G166" i="4"/>
  <c r="F166" i="4"/>
  <c r="D166" i="4"/>
  <c r="J151" i="4"/>
  <c r="I151" i="4"/>
  <c r="G151" i="4"/>
  <c r="F151" i="4"/>
  <c r="D151" i="4"/>
  <c r="J134" i="4"/>
  <c r="I134" i="4"/>
  <c r="F134" i="4"/>
  <c r="G134" i="4" s="1"/>
  <c r="J122" i="4"/>
  <c r="I122" i="4"/>
  <c r="H122" i="4"/>
  <c r="G122" i="4"/>
  <c r="F122" i="4"/>
  <c r="D122" i="4"/>
  <c r="J107" i="4"/>
  <c r="I107" i="4"/>
  <c r="G107" i="4"/>
  <c r="F107" i="4"/>
  <c r="D107" i="4"/>
  <c r="J90" i="4"/>
  <c r="I90" i="4"/>
  <c r="F90" i="4"/>
  <c r="G90" i="4" s="1"/>
  <c r="J63" i="4"/>
  <c r="I63" i="4"/>
  <c r="G63" i="4"/>
  <c r="F63" i="4"/>
  <c r="D63" i="4"/>
  <c r="H47" i="4"/>
  <c r="D47" i="4"/>
  <c r="D46" i="4"/>
  <c r="D33" i="4"/>
  <c r="J18" i="4"/>
  <c r="I18" i="4"/>
  <c r="G18" i="4"/>
  <c r="F18" i="4"/>
  <c r="D18" i="4"/>
  <c r="D8" i="4"/>
  <c r="H7" i="4"/>
  <c r="F7" i="4" s="1"/>
  <c r="F8" i="4" s="1"/>
  <c r="H1" i="4"/>
  <c r="D1" i="4"/>
  <c r="D126" i="3"/>
  <c r="J125" i="3"/>
  <c r="F127" i="3" s="1"/>
  <c r="E125" i="3"/>
  <c r="G108" i="3"/>
  <c r="D104" i="3"/>
  <c r="D98" i="3"/>
  <c r="F93" i="3"/>
  <c r="J84" i="3"/>
  <c r="I84" i="3" s="1"/>
  <c r="H84" i="3"/>
  <c r="J83" i="3"/>
  <c r="I83" i="3" s="1"/>
  <c r="H83" i="3"/>
  <c r="G47" i="3"/>
  <c r="G46" i="3"/>
  <c r="G45" i="3"/>
  <c r="G44" i="3"/>
  <c r="G43" i="3"/>
  <c r="G42" i="3"/>
  <c r="F41" i="3"/>
  <c r="G41" i="3" s="1"/>
  <c r="D41" i="3"/>
  <c r="F40" i="3"/>
  <c r="G40" i="3" s="1"/>
  <c r="D40" i="3"/>
  <c r="G39" i="3"/>
  <c r="D39" i="3"/>
  <c r="F38" i="3"/>
  <c r="G28" i="3"/>
  <c r="J24" i="3"/>
  <c r="D24" i="3"/>
  <c r="D18" i="3"/>
  <c r="F12" i="3"/>
  <c r="H11" i="3"/>
  <c r="F10" i="3"/>
  <c r="F9" i="3"/>
  <c r="J5" i="3"/>
  <c r="D102" i="3" s="1"/>
  <c r="E5" i="3"/>
  <c r="F4" i="3"/>
  <c r="J1" i="3"/>
  <c r="D216" i="4"/>
  <c r="D38" i="4"/>
  <c r="D36" i="4"/>
  <c r="D35" i="4"/>
  <c r="E68" i="1"/>
  <c r="E69" i="1" s="1"/>
  <c r="E126" i="3" s="1"/>
  <c r="J48" i="1"/>
  <c r="J47" i="1"/>
  <c r="E47" i="1"/>
  <c r="H34" i="1"/>
  <c r="H35" i="1"/>
  <c r="F29" i="1"/>
  <c r="F31" i="1"/>
  <c r="G30" i="1" s="1"/>
  <c r="G31" i="1" s="1"/>
  <c r="H30" i="1" s="1"/>
  <c r="H31" i="1" s="1"/>
  <c r="I30" i="1" s="1"/>
  <c r="I31" i="1" s="1"/>
  <c r="F28" i="1"/>
  <c r="F110" i="3" s="1"/>
  <c r="G27" i="1"/>
  <c r="F27" i="1"/>
  <c r="F25" i="1"/>
  <c r="G24" i="1"/>
  <c r="F24" i="1"/>
  <c r="F18" i="1"/>
  <c r="G17" i="1"/>
  <c r="G16" i="1"/>
  <c r="H13" i="1"/>
  <c r="L9" i="1"/>
  <c r="L10" i="1" s="1"/>
  <c r="H9" i="1" s="1"/>
  <c r="K9" i="1"/>
  <c r="J9" i="1"/>
  <c r="J10" i="1" s="1"/>
  <c r="F10" i="1" s="1"/>
  <c r="B522" i="2" l="1"/>
  <c r="M1002" i="2"/>
  <c r="N1002" i="2"/>
  <c r="L1003" i="2"/>
  <c r="K1004" i="2"/>
  <c r="N1004" i="2"/>
  <c r="G1070" i="2"/>
  <c r="G1073" i="2" s="1"/>
  <c r="K1001" i="2"/>
  <c r="O1002" i="2"/>
  <c r="M1003" i="2"/>
  <c r="L1004" i="2"/>
  <c r="P1001" i="2"/>
  <c r="K1003" i="2"/>
  <c r="O1001" i="2"/>
  <c r="P1002" i="2"/>
  <c r="N1003" i="2"/>
  <c r="M1004" i="2"/>
  <c r="D1047" i="2"/>
  <c r="O1003" i="2"/>
  <c r="J1004" i="2"/>
  <c r="G1003" i="2"/>
  <c r="D1053" i="2"/>
  <c r="H1002" i="2"/>
  <c r="H1003" i="2"/>
  <c r="P1003" i="2"/>
  <c r="O1004" i="2"/>
  <c r="J1002" i="2"/>
  <c r="I1003" i="2"/>
  <c r="H1004" i="2"/>
  <c r="P1004" i="2"/>
  <c r="J1003" i="2"/>
  <c r="K1002" i="2"/>
  <c r="I1004" i="2"/>
  <c r="N1001" i="2"/>
  <c r="J1001" i="2"/>
  <c r="Q14" i="2"/>
  <c r="I1002" i="2"/>
  <c r="M1001" i="2"/>
  <c r="G14" i="2"/>
  <c r="G1004" i="2"/>
  <c r="G1001" i="2"/>
  <c r="H1001" i="2"/>
  <c r="G1002" i="2"/>
  <c r="L1002" i="2"/>
  <c r="I1001" i="2"/>
  <c r="G1050" i="2"/>
  <c r="Q1050" i="2"/>
  <c r="L1001" i="2"/>
  <c r="I1018" i="2"/>
  <c r="J1018" i="2"/>
  <c r="G1018" i="2"/>
  <c r="K1018" i="2"/>
  <c r="H1018" i="2"/>
  <c r="G1071" i="2"/>
  <c r="G1074" i="2" s="1"/>
  <c r="H1050" i="2"/>
  <c r="J1050" i="2"/>
  <c r="N1018" i="2"/>
  <c r="M1018" i="2"/>
  <c r="P1018" i="2"/>
  <c r="O1018" i="2"/>
  <c r="J14" i="2"/>
  <c r="K14" i="2"/>
  <c r="K1050" i="2"/>
  <c r="H14" i="2"/>
  <c r="L1018" i="2"/>
  <c r="I14" i="2"/>
  <c r="I1050" i="2"/>
  <c r="M1050" i="2"/>
  <c r="P14" i="2"/>
  <c r="P1050" i="2"/>
  <c r="O14" i="2"/>
  <c r="N1050" i="2"/>
  <c r="L14" i="2"/>
  <c r="L1050" i="2"/>
  <c r="M14" i="2"/>
  <c r="N14" i="2"/>
  <c r="O1050" i="2"/>
  <c r="B521" i="2"/>
  <c r="B537" i="2"/>
  <c r="J425" i="2"/>
  <c r="H1085" i="2"/>
  <c r="H425" i="2"/>
  <c r="I425" i="2"/>
  <c r="I1086" i="2"/>
  <c r="I1087" i="2"/>
  <c r="K425" i="2"/>
  <c r="K535" i="2" s="1"/>
  <c r="L425" i="2"/>
  <c r="H515" i="2"/>
  <c r="H1019" i="2" s="1"/>
  <c r="M521" i="2"/>
  <c r="O519" i="2"/>
  <c r="P519" i="2"/>
  <c r="I516" i="2"/>
  <c r="G4" i="8" s="1"/>
  <c r="J520" i="2"/>
  <c r="H535" i="2"/>
  <c r="I537" i="2"/>
  <c r="I538" i="2" s="1"/>
  <c r="H803" i="2"/>
  <c r="I803" i="2" s="1"/>
  <c r="J515" i="2"/>
  <c r="J1019" i="2" s="1"/>
  <c r="K521" i="2"/>
  <c r="M519" i="2"/>
  <c r="N521" i="2"/>
  <c r="H519" i="2"/>
  <c r="I521" i="2"/>
  <c r="J531" i="2"/>
  <c r="H536" i="2"/>
  <c r="I515" i="2"/>
  <c r="I1019" i="2" s="1"/>
  <c r="L519" i="2"/>
  <c r="I520" i="2"/>
  <c r="H531" i="2"/>
  <c r="N519" i="2"/>
  <c r="O521" i="2"/>
  <c r="F520" i="2"/>
  <c r="I531" i="2"/>
  <c r="H537" i="2"/>
  <c r="H538" i="2" s="1"/>
  <c r="H521" i="2"/>
  <c r="J537" i="2"/>
  <c r="J538" i="2" s="1"/>
  <c r="J521" i="2"/>
  <c r="H532" i="2"/>
  <c r="H533" i="2" s="1"/>
  <c r="H534" i="2" s="1"/>
  <c r="H516" i="2"/>
  <c r="G3" i="8" s="1"/>
  <c r="F519" i="2"/>
  <c r="I532" i="2"/>
  <c r="I533" i="2" s="1"/>
  <c r="I535" i="2"/>
  <c r="P521" i="2"/>
  <c r="J516" i="2"/>
  <c r="G5" i="8" s="1"/>
  <c r="I519" i="2"/>
  <c r="J532" i="2"/>
  <c r="J533" i="2" s="1"/>
  <c r="J535" i="2"/>
  <c r="L521" i="2"/>
  <c r="J519" i="2"/>
  <c r="I536" i="2"/>
  <c r="G839" i="2"/>
  <c r="O839" i="2"/>
  <c r="F521" i="2"/>
  <c r="F522" i="2" s="1"/>
  <c r="K519" i="2"/>
  <c r="H520" i="2"/>
  <c r="L535" i="2"/>
  <c r="J536" i="2"/>
  <c r="I839" i="2"/>
  <c r="J839" i="2"/>
  <c r="K839" i="2"/>
  <c r="L839" i="2"/>
  <c r="M839" i="2"/>
  <c r="N839" i="2"/>
  <c r="P839" i="2"/>
  <c r="P685" i="2"/>
  <c r="P840" i="2" s="1"/>
  <c r="H839" i="2"/>
  <c r="I1084" i="2"/>
  <c r="J1086" i="2"/>
  <c r="H1087" i="2"/>
  <c r="H1084" i="2"/>
  <c r="J1085" i="2"/>
  <c r="J1087" i="2"/>
  <c r="O425" i="2"/>
  <c r="P425" i="2"/>
  <c r="P535" i="2" s="1"/>
  <c r="J1084" i="2"/>
  <c r="I1085" i="2"/>
  <c r="N425" i="2"/>
  <c r="N535" i="2" s="1"/>
  <c r="M425" i="2"/>
  <c r="M535" i="2" s="1"/>
  <c r="H1086" i="2"/>
  <c r="G327" i="2"/>
  <c r="J4" i="2"/>
  <c r="J1093" i="2" s="1"/>
  <c r="J345" i="2" s="1"/>
  <c r="J346" i="2" s="1"/>
  <c r="G4" i="2"/>
  <c r="H4" i="2"/>
  <c r="H1093" i="2" s="1"/>
  <c r="H345" i="2" s="1"/>
  <c r="H346" i="2" s="1"/>
  <c r="K4" i="2"/>
  <c r="K1093" i="2" s="1"/>
  <c r="K345" i="2" s="1"/>
  <c r="K346" i="2" s="1"/>
  <c r="I4" i="2"/>
  <c r="I1093" i="2" s="1"/>
  <c r="I345" i="2" s="1"/>
  <c r="I346" i="2" s="1"/>
  <c r="Q11" i="2"/>
  <c r="Q335" i="2"/>
  <c r="Q440" i="2"/>
  <c r="Q631" i="2"/>
  <c r="Q543" i="2"/>
  <c r="Q846" i="2"/>
  <c r="Q713" i="2"/>
  <c r="C20" i="2"/>
  <c r="C40" i="2"/>
  <c r="C80" i="2"/>
  <c r="C70" i="2"/>
  <c r="C130" i="2"/>
  <c r="C150" i="2"/>
  <c r="C170" i="2"/>
  <c r="C190" i="2"/>
  <c r="C210" i="2"/>
  <c r="C230" i="2"/>
  <c r="C250" i="2"/>
  <c r="C50" i="2"/>
  <c r="C110" i="2"/>
  <c r="C30" i="2"/>
  <c r="C60" i="2"/>
  <c r="C90" i="2"/>
  <c r="C120" i="2"/>
  <c r="C140" i="2"/>
  <c r="C160" i="2"/>
  <c r="C180" i="2"/>
  <c r="C200" i="2"/>
  <c r="C220" i="2"/>
  <c r="C240" i="2"/>
  <c r="C260" i="2"/>
  <c r="C280" i="2"/>
  <c r="C300" i="2"/>
  <c r="C100" i="2"/>
  <c r="C310" i="2"/>
  <c r="C290" i="2"/>
  <c r="C270" i="2"/>
  <c r="B538" i="2"/>
  <c r="B782" i="2"/>
  <c r="B790" i="2"/>
  <c r="B786" i="2"/>
  <c r="B791" i="2"/>
  <c r="B792" i="2"/>
  <c r="B783" i="2"/>
  <c r="B793" i="2"/>
  <c r="B784" i="2"/>
  <c r="B785" i="2"/>
  <c r="B787" i="2"/>
  <c r="B788" i="2"/>
  <c r="B789" i="2"/>
  <c r="D48" i="4"/>
  <c r="D456" i="4" s="1"/>
  <c r="J36" i="5"/>
  <c r="H24" i="1"/>
  <c r="H9" i="3"/>
  <c r="J23" i="1"/>
  <c r="N75" i="7"/>
  <c r="N72" i="7"/>
  <c r="N71" i="7"/>
  <c r="N74" i="7"/>
  <c r="N73" i="7"/>
  <c r="T3" i="46"/>
  <c r="J30" i="1"/>
  <c r="J31" i="1" s="1"/>
  <c r="F455" i="4"/>
  <c r="J455" i="4"/>
  <c r="G455" i="4"/>
  <c r="I455" i="4"/>
  <c r="E394" i="4"/>
  <c r="E440" i="4"/>
  <c r="H363" i="4"/>
  <c r="G363" i="4" s="1"/>
  <c r="H409" i="4"/>
  <c r="E302" i="4"/>
  <c r="E348" i="4"/>
  <c r="H271" i="4"/>
  <c r="I271" i="4" s="1"/>
  <c r="H317" i="4"/>
  <c r="G225" i="4"/>
  <c r="G29" i="1"/>
  <c r="H29" i="1" s="1"/>
  <c r="I29" i="1" s="1"/>
  <c r="J29" i="1" s="1"/>
  <c r="D39" i="4"/>
  <c r="D119" i="27"/>
  <c r="F17" i="1"/>
  <c r="Z153" i="7"/>
  <c r="AD146" i="7"/>
  <c r="Z136" i="7"/>
  <c r="Z130" i="7"/>
  <c r="AC109" i="7"/>
  <c r="Z81" i="7"/>
  <c r="Z141" i="7"/>
  <c r="Z148" i="7"/>
  <c r="AE150" i="7"/>
  <c r="Z87" i="7"/>
  <c r="Z121" i="7"/>
  <c r="O100" i="5"/>
  <c r="AD130" i="7"/>
  <c r="AE166" i="7"/>
  <c r="AE168" i="7"/>
  <c r="AF170" i="7"/>
  <c r="AD170" i="7"/>
  <c r="AC172" i="7"/>
  <c r="Z107" i="7"/>
  <c r="Z94" i="7"/>
  <c r="AD152" i="7"/>
  <c r="AF154" i="7"/>
  <c r="Z167" i="7"/>
  <c r="Z89" i="7"/>
  <c r="Z96" i="7"/>
  <c r="Z86" i="7"/>
  <c r="Z88" i="7"/>
  <c r="Z90" i="7"/>
  <c r="AC124" i="7"/>
  <c r="AC126" i="7"/>
  <c r="AF137" i="7"/>
  <c r="Z163" i="7"/>
  <c r="AE167" i="7"/>
  <c r="AE124" i="7"/>
  <c r="Z161" i="7"/>
  <c r="AC167" i="7"/>
  <c r="Z169" i="7"/>
  <c r="X77" i="7"/>
  <c r="AE97" i="7"/>
  <c r="AC130" i="7"/>
  <c r="AD154" i="7"/>
  <c r="AC175" i="7"/>
  <c r="AC79" i="7"/>
  <c r="AF81" i="7"/>
  <c r="Z111" i="7"/>
  <c r="AD126" i="7"/>
  <c r="Z132" i="7"/>
  <c r="AC146" i="7"/>
  <c r="AD90" i="7"/>
  <c r="Z101" i="7"/>
  <c r="Z126" i="7"/>
  <c r="AD127" i="7"/>
  <c r="Z133" i="7"/>
  <c r="AC153" i="7"/>
  <c r="AD168" i="7"/>
  <c r="G42" i="7"/>
  <c r="AC90" i="7"/>
  <c r="AF94" i="7"/>
  <c r="C38" i="5"/>
  <c r="Z129" i="7"/>
  <c r="C1" i="6"/>
  <c r="AD128" i="7"/>
  <c r="AC151" i="7"/>
  <c r="AC82" i="7"/>
  <c r="AD93" i="7"/>
  <c r="Z124" i="7"/>
  <c r="AC128" i="7"/>
  <c r="AD132" i="7"/>
  <c r="AE137" i="7"/>
  <c r="AF138" i="7"/>
  <c r="AC140" i="7"/>
  <c r="AD143" i="7"/>
  <c r="AC165" i="7"/>
  <c r="AC171" i="7"/>
  <c r="Z173" i="7"/>
  <c r="Z175" i="7"/>
  <c r="AE82" i="7"/>
  <c r="AD82" i="7"/>
  <c r="AE165" i="7"/>
  <c r="AE171" i="7"/>
  <c r="AC93" i="7"/>
  <c r="AE96" i="7"/>
  <c r="AC108" i="7"/>
  <c r="Z117" i="7"/>
  <c r="AF130" i="7"/>
  <c r="AC132" i="7"/>
  <c r="AD135" i="7"/>
  <c r="AD138" i="7"/>
  <c r="AC143" i="7"/>
  <c r="AE163" i="7"/>
  <c r="AE128" i="7"/>
  <c r="Z82" i="7"/>
  <c r="AC96" i="7"/>
  <c r="Z128" i="7"/>
  <c r="AC135" i="7"/>
  <c r="AC138" i="7"/>
  <c r="Z140" i="7"/>
  <c r="Z151" i="7"/>
  <c r="AE152" i="7"/>
  <c r="AE153" i="7"/>
  <c r="Z155" i="7"/>
  <c r="Z157" i="7"/>
  <c r="AC163" i="7"/>
  <c r="Z165" i="7"/>
  <c r="AF166" i="7"/>
  <c r="Z171" i="7"/>
  <c r="I48" i="1"/>
  <c r="B3" i="6"/>
  <c r="D262" i="4"/>
  <c r="AF86" i="7"/>
  <c r="AF148" i="7"/>
  <c r="AE159" i="7"/>
  <c r="Q100" i="5"/>
  <c r="AD100" i="7"/>
  <c r="AD144" i="7"/>
  <c r="AE149" i="7"/>
  <c r="AC159" i="7"/>
  <c r="N102" i="5"/>
  <c r="E210" i="4"/>
  <c r="G38" i="5"/>
  <c r="Z84" i="7"/>
  <c r="Z85" i="7"/>
  <c r="AC88" i="7"/>
  <c r="AE90" i="7"/>
  <c r="AF93" i="7"/>
  <c r="Z95" i="7"/>
  <c r="AC101" i="7"/>
  <c r="AC107" i="7"/>
  <c r="AE108" i="7"/>
  <c r="AF111" i="7"/>
  <c r="Z113" i="7"/>
  <c r="AC121" i="7"/>
  <c r="Z123" i="7"/>
  <c r="AE126" i="7"/>
  <c r="AE132" i="7"/>
  <c r="AC133" i="7"/>
  <c r="AD140" i="7"/>
  <c r="AC141" i="7"/>
  <c r="AE145" i="7"/>
  <c r="AF146" i="7"/>
  <c r="Z149" i="7"/>
  <c r="AF150" i="7"/>
  <c r="AE151" i="7"/>
  <c r="AE156" i="7"/>
  <c r="AC157" i="7"/>
  <c r="Z159" i="7"/>
  <c r="AD160" i="7"/>
  <c r="AC161" i="7"/>
  <c r="AC173" i="7"/>
  <c r="AC174" i="7"/>
  <c r="D88" i="31"/>
  <c r="AF84" i="7"/>
  <c r="AF123" i="7"/>
  <c r="AE84" i="7"/>
  <c r="AE86" i="7"/>
  <c r="AD106" i="7"/>
  <c r="AE110" i="7"/>
  <c r="AD116" i="7"/>
  <c r="D22" i="3"/>
  <c r="AE80" i="7"/>
  <c r="AC84" i="7"/>
  <c r="AD86" i="7"/>
  <c r="AE88" i="7"/>
  <c r="AE92" i="7"/>
  <c r="AC95" i="7"/>
  <c r="AC106" i="7"/>
  <c r="AD110" i="7"/>
  <c r="AC113" i="7"/>
  <c r="AC116" i="7"/>
  <c r="AF117" i="7"/>
  <c r="AE120" i="7"/>
  <c r="AC123" i="7"/>
  <c r="AF140" i="7"/>
  <c r="AD148" i="7"/>
  <c r="AC149" i="7"/>
  <c r="AE155" i="7"/>
  <c r="AF160" i="7"/>
  <c r="AE169" i="7"/>
  <c r="AE173" i="7"/>
  <c r="AF174" i="7"/>
  <c r="AF95" i="7"/>
  <c r="AE95" i="7"/>
  <c r="AE123" i="7"/>
  <c r="H33" i="4"/>
  <c r="AF88" i="7"/>
  <c r="AE148" i="7"/>
  <c r="AF173" i="7"/>
  <c r="AD80" i="7"/>
  <c r="AE121" i="7"/>
  <c r="AE133" i="7"/>
  <c r="AE141" i="7"/>
  <c r="AF145" i="7"/>
  <c r="AC155" i="7"/>
  <c r="AE157" i="7"/>
  <c r="AE161" i="7"/>
  <c r="AC169" i="7"/>
  <c r="AD174" i="7"/>
  <c r="O10" i="5"/>
  <c r="P10" i="5"/>
  <c r="N10" i="5"/>
  <c r="Q10" i="5"/>
  <c r="Q6" i="5"/>
  <c r="H113" i="5"/>
  <c r="I113" i="5" s="1"/>
  <c r="J113" i="5" s="1"/>
  <c r="K113" i="5" s="1"/>
  <c r="L113" i="5" s="1"/>
  <c r="Q113" i="5"/>
  <c r="N113" i="5"/>
  <c r="O113" i="5"/>
  <c r="P113" i="5"/>
  <c r="K88" i="7"/>
  <c r="O14" i="5"/>
  <c r="K10" i="1"/>
  <c r="G10" i="1" s="1"/>
  <c r="AC158" i="7"/>
  <c r="Z158" i="7"/>
  <c r="AF158" i="7"/>
  <c r="AE158" i="7"/>
  <c r="J104" i="3"/>
  <c r="AC164" i="7"/>
  <c r="Z164" i="7"/>
  <c r="AD164" i="7"/>
  <c r="AE164" i="7"/>
  <c r="AF164" i="7"/>
  <c r="I6" i="5"/>
  <c r="D170" i="4"/>
  <c r="D126" i="4"/>
  <c r="D214" i="4"/>
  <c r="D260" i="4"/>
  <c r="D82" i="4"/>
  <c r="F9" i="1"/>
  <c r="H10" i="1"/>
  <c r="J10" i="3"/>
  <c r="P34" i="5"/>
  <c r="P6" i="5"/>
  <c r="F11" i="3"/>
  <c r="F75" i="3"/>
  <c r="D73" i="30"/>
  <c r="D74" i="26"/>
  <c r="D74" i="25"/>
  <c r="D74" i="30"/>
  <c r="D73" i="29"/>
  <c r="D74" i="31"/>
  <c r="D119" i="30"/>
  <c r="D119" i="29"/>
  <c r="D120" i="28"/>
  <c r="D73" i="28"/>
  <c r="D120" i="26"/>
  <c r="D87" i="31"/>
  <c r="D88" i="29"/>
  <c r="D120" i="27"/>
  <c r="D87" i="27"/>
  <c r="F121" i="3"/>
  <c r="D88" i="27"/>
  <c r="F89" i="3"/>
  <c r="D74" i="28"/>
  <c r="D88" i="30"/>
  <c r="D88" i="26"/>
  <c r="D73" i="25"/>
  <c r="D120" i="29"/>
  <c r="D73" i="26"/>
  <c r="D87" i="29"/>
  <c r="H6" i="5"/>
  <c r="K83" i="7"/>
  <c r="Z118" i="7"/>
  <c r="AF118" i="7"/>
  <c r="AC118" i="7"/>
  <c r="AD118" i="7"/>
  <c r="G47" i="7"/>
  <c r="Q34" i="5"/>
  <c r="E53" i="3"/>
  <c r="N14" i="5"/>
  <c r="AD105" i="7"/>
  <c r="AE105" i="7"/>
  <c r="Z105" i="7"/>
  <c r="AC105" i="7"/>
  <c r="H14" i="5"/>
  <c r="I34" i="5"/>
  <c r="N34" i="5"/>
  <c r="O34" i="5"/>
  <c r="F231" i="7"/>
  <c r="F180" i="7"/>
  <c r="F128" i="7"/>
  <c r="F77" i="7"/>
  <c r="Q14" i="5"/>
  <c r="AC122" i="7"/>
  <c r="AD122" i="7"/>
  <c r="Z122" i="7"/>
  <c r="AE122" i="7"/>
  <c r="AF122" i="7"/>
  <c r="AD147" i="7"/>
  <c r="AE147" i="7"/>
  <c r="AC147" i="7"/>
  <c r="AF147" i="7"/>
  <c r="Z147" i="7"/>
  <c r="AB78" i="7"/>
  <c r="AD139" i="7"/>
  <c r="AE139" i="7"/>
  <c r="AC139" i="7"/>
  <c r="AF139" i="7"/>
  <c r="Z139" i="7"/>
  <c r="O6" i="5"/>
  <c r="C4" i="7"/>
  <c r="C2" i="7"/>
  <c r="C3" i="7"/>
  <c r="C6" i="7"/>
  <c r="C5" i="7"/>
  <c r="N6" i="5"/>
  <c r="P14" i="5"/>
  <c r="H10" i="5"/>
  <c r="AE178" i="7"/>
  <c r="AF178" i="7"/>
  <c r="AC178" i="7"/>
  <c r="AD178" i="7"/>
  <c r="F16" i="1"/>
  <c r="AD158" i="7"/>
  <c r="H19" i="5"/>
  <c r="D125" i="4"/>
  <c r="D81" i="4"/>
  <c r="D213" i="4"/>
  <c r="D259" i="4"/>
  <c r="D169" i="4"/>
  <c r="AD99" i="7"/>
  <c r="AE99" i="7"/>
  <c r="AF99" i="7"/>
  <c r="Z99" i="7"/>
  <c r="AC99" i="7"/>
  <c r="AE91" i="7"/>
  <c r="AF91" i="7"/>
  <c r="AC91" i="7"/>
  <c r="AD91" i="7"/>
  <c r="Z91" i="7"/>
  <c r="Z112" i="7"/>
  <c r="AF112" i="7"/>
  <c r="AE112" i="7"/>
  <c r="AC112" i="7"/>
  <c r="AD112" i="7"/>
  <c r="AD115" i="7"/>
  <c r="AE115" i="7"/>
  <c r="AF115" i="7"/>
  <c r="Z115" i="7"/>
  <c r="AC115" i="7"/>
  <c r="D123" i="4"/>
  <c r="D257" i="4"/>
  <c r="D167" i="4"/>
  <c r="D79" i="4"/>
  <c r="D211" i="4"/>
  <c r="AE83" i="7"/>
  <c r="AF83" i="7"/>
  <c r="AC83" i="7"/>
  <c r="AD83" i="7"/>
  <c r="Z104" i="7"/>
  <c r="AF104" i="7"/>
  <c r="AC104" i="7"/>
  <c r="AD104" i="7"/>
  <c r="AE104" i="7"/>
  <c r="AD125" i="7"/>
  <c r="AE125" i="7"/>
  <c r="Z125" i="7"/>
  <c r="AC125" i="7"/>
  <c r="AC134" i="7"/>
  <c r="AD134" i="7"/>
  <c r="Z134" i="7"/>
  <c r="AE134" i="7"/>
  <c r="AF134" i="7"/>
  <c r="AC142" i="7"/>
  <c r="AD142" i="7"/>
  <c r="Z142" i="7"/>
  <c r="AF142" i="7"/>
  <c r="Z177" i="7"/>
  <c r="AF177" i="7"/>
  <c r="AC177" i="7"/>
  <c r="AD177" i="7"/>
  <c r="AE177" i="7"/>
  <c r="X12" i="7"/>
  <c r="AD113" i="7"/>
  <c r="AE113" i="7"/>
  <c r="E256" i="4"/>
  <c r="AC97" i="7"/>
  <c r="AD97" i="7"/>
  <c r="AF97" i="7"/>
  <c r="Z102" i="7"/>
  <c r="AF102" i="7"/>
  <c r="AC102" i="7"/>
  <c r="AD102" i="7"/>
  <c r="Z114" i="7"/>
  <c r="AF114" i="7"/>
  <c r="AD114" i="7"/>
  <c r="AE114" i="7"/>
  <c r="AD119" i="7"/>
  <c r="AE119" i="7"/>
  <c r="AC119" i="7"/>
  <c r="AF119" i="7"/>
  <c r="AC162" i="7"/>
  <c r="Z162" i="7"/>
  <c r="AD162" i="7"/>
  <c r="AE162" i="7"/>
  <c r="AF162" i="7"/>
  <c r="AC176" i="7"/>
  <c r="Z176" i="7"/>
  <c r="AD176" i="7"/>
  <c r="AE176" i="7"/>
  <c r="Z98" i="7"/>
  <c r="AF98" i="7"/>
  <c r="AD98" i="7"/>
  <c r="AE98" i="7"/>
  <c r="Z120" i="7"/>
  <c r="AF120" i="7"/>
  <c r="AC120" i="7"/>
  <c r="AE131" i="7"/>
  <c r="AF131" i="7"/>
  <c r="AC131" i="7"/>
  <c r="AD131" i="7"/>
  <c r="Z131" i="7"/>
  <c r="D119" i="31"/>
  <c r="D215" i="4"/>
  <c r="D171" i="4"/>
  <c r="D261" i="4"/>
  <c r="D83" i="4"/>
  <c r="D127" i="4"/>
  <c r="AC92" i="7"/>
  <c r="Z92" i="7"/>
  <c r="AF92" i="7"/>
  <c r="AD103" i="7"/>
  <c r="AE103" i="7"/>
  <c r="AC103" i="7"/>
  <c r="AF103" i="7"/>
  <c r="AC156" i="7"/>
  <c r="Z156" i="7"/>
  <c r="AD156" i="7"/>
  <c r="D80" i="4"/>
  <c r="D168" i="4"/>
  <c r="AE85" i="7"/>
  <c r="AF85" i="7"/>
  <c r="AC85" i="7"/>
  <c r="Z100" i="7"/>
  <c r="AF100" i="7"/>
  <c r="AD101" i="7"/>
  <c r="AE101" i="7"/>
  <c r="Z116" i="7"/>
  <c r="AF116" i="7"/>
  <c r="AD117" i="7"/>
  <c r="AE117" i="7"/>
  <c r="AC160" i="7"/>
  <c r="Z160" i="7"/>
  <c r="D172" i="4"/>
  <c r="AF79" i="7"/>
  <c r="AF109" i="7"/>
  <c r="AF172" i="7"/>
  <c r="I7" i="4"/>
  <c r="I8" i="4" s="1"/>
  <c r="J7" i="4"/>
  <c r="J8" i="4" s="1"/>
  <c r="G7" i="4"/>
  <c r="G8" i="4" s="1"/>
  <c r="Z80" i="7"/>
  <c r="AF80" i="7"/>
  <c r="AD81" i="7"/>
  <c r="AE81" i="7"/>
  <c r="AE89" i="7"/>
  <c r="AF89" i="7"/>
  <c r="AC89" i="7"/>
  <c r="AD94" i="7"/>
  <c r="AE94" i="7"/>
  <c r="Z110" i="7"/>
  <c r="AF110" i="7"/>
  <c r="AD111" i="7"/>
  <c r="AE111" i="7"/>
  <c r="AE129" i="7"/>
  <c r="AF129" i="7"/>
  <c r="AC129" i="7"/>
  <c r="AC154" i="7"/>
  <c r="Z154" i="7"/>
  <c r="AC170" i="7"/>
  <c r="Z170" i="7"/>
  <c r="D128" i="4"/>
  <c r="AE100" i="7"/>
  <c r="AD79" i="7"/>
  <c r="AE79" i="7"/>
  <c r="Z108" i="7"/>
  <c r="AF108" i="7"/>
  <c r="AD109" i="7"/>
  <c r="AE109" i="7"/>
  <c r="AC152" i="7"/>
  <c r="Z152" i="7"/>
  <c r="AC168" i="7"/>
  <c r="Z168" i="7"/>
  <c r="AD172" i="7"/>
  <c r="AE172" i="7"/>
  <c r="D84" i="4"/>
  <c r="D258" i="4"/>
  <c r="AE87" i="7"/>
  <c r="AF87" i="7"/>
  <c r="AC87" i="7"/>
  <c r="Z106" i="7"/>
  <c r="AF106" i="7"/>
  <c r="AD107" i="7"/>
  <c r="AE107" i="7"/>
  <c r="AE127" i="7"/>
  <c r="AF127" i="7"/>
  <c r="AC127" i="7"/>
  <c r="Z135" i="7"/>
  <c r="AF135" i="7"/>
  <c r="AE136" i="7"/>
  <c r="AF136" i="7"/>
  <c r="AC136" i="7"/>
  <c r="AC137" i="7"/>
  <c r="Z137" i="7"/>
  <c r="Z143" i="7"/>
  <c r="AF143" i="7"/>
  <c r="AE144" i="7"/>
  <c r="AF144" i="7"/>
  <c r="AC144" i="7"/>
  <c r="AC145" i="7"/>
  <c r="Z145" i="7"/>
  <c r="AC150" i="7"/>
  <c r="Z150" i="7"/>
  <c r="AC166" i="7"/>
  <c r="Z166" i="7"/>
  <c r="AD175" i="7"/>
  <c r="AE175" i="7"/>
  <c r="D124" i="4"/>
  <c r="D212" i="4"/>
  <c r="AE93" i="7"/>
  <c r="AD96" i="7"/>
  <c r="AD121" i="7"/>
  <c r="AD124" i="7"/>
  <c r="AD133" i="7"/>
  <c r="AE138" i="7"/>
  <c r="AD141" i="7"/>
  <c r="AE146" i="7"/>
  <c r="AD149" i="7"/>
  <c r="AD151" i="7"/>
  <c r="AD153" i="7"/>
  <c r="AD155" i="7"/>
  <c r="AD157" i="7"/>
  <c r="AD159" i="7"/>
  <c r="AD161" i="7"/>
  <c r="AD163" i="7"/>
  <c r="AD165" i="7"/>
  <c r="AD167" i="7"/>
  <c r="AD169" i="7"/>
  <c r="AD171" i="7"/>
  <c r="AE174" i="7"/>
  <c r="D87" i="26"/>
  <c r="D119" i="26"/>
  <c r="D119" i="28"/>
  <c r="D87" i="30"/>
  <c r="D120" i="30"/>
  <c r="D73" i="31"/>
  <c r="D88" i="25"/>
  <c r="D120" i="25"/>
  <c r="D74" i="27"/>
  <c r="D88" i="28"/>
  <c r="D120" i="31"/>
  <c r="D87" i="25"/>
  <c r="D119" i="25"/>
  <c r="D73" i="27"/>
  <c r="D87" i="28"/>
  <c r="D74" i="29"/>
  <c r="G1044" i="2" l="1"/>
  <c r="G1042" i="2"/>
  <c r="G1039" i="2" s="1"/>
  <c r="G1043" i="2"/>
  <c r="O515" i="2"/>
  <c r="O1019" i="2" s="1"/>
  <c r="P515" i="2"/>
  <c r="P1019" i="2" s="1"/>
  <c r="N515" i="2"/>
  <c r="N1019" i="2" s="1"/>
  <c r="F516" i="2"/>
  <c r="F1020" i="2" s="1"/>
  <c r="K1085" i="2"/>
  <c r="L1085" i="2" s="1"/>
  <c r="M1085" i="2" s="1"/>
  <c r="N1085" i="2" s="1"/>
  <c r="K1084" i="2"/>
  <c r="L1084" i="2" s="1"/>
  <c r="M1084" i="2" s="1"/>
  <c r="N1084" i="2" s="1"/>
  <c r="J341" i="2"/>
  <c r="J803" i="2"/>
  <c r="L522" i="2"/>
  <c r="L1059" i="2"/>
  <c r="L1057" i="2"/>
  <c r="L1056" i="2"/>
  <c r="L1058" i="2"/>
  <c r="L1060" i="2"/>
  <c r="I522" i="2"/>
  <c r="I1058" i="2"/>
  <c r="I1059" i="2"/>
  <c r="I1056" i="2"/>
  <c r="I1060" i="2"/>
  <c r="I1057" i="2"/>
  <c r="K522" i="2"/>
  <c r="K1058" i="2"/>
  <c r="K1056" i="2"/>
  <c r="K1059" i="2"/>
  <c r="K1060" i="2"/>
  <c r="K1057" i="2"/>
  <c r="K1086" i="2"/>
  <c r="H1091" i="2"/>
  <c r="H679" i="2" s="1"/>
  <c r="O535" i="2"/>
  <c r="M522" i="2"/>
  <c r="M1057" i="2"/>
  <c r="M1060" i="2"/>
  <c r="M1056" i="2"/>
  <c r="M1059" i="2"/>
  <c r="M1058" i="2"/>
  <c r="G1093" i="2"/>
  <c r="G1091" i="2" s="1"/>
  <c r="G679" i="2" s="1"/>
  <c r="G1090" i="2"/>
  <c r="G668" i="2" s="1"/>
  <c r="C2" i="8" s="1"/>
  <c r="G1088" i="2"/>
  <c r="I534" i="2"/>
  <c r="J534" i="2" s="1"/>
  <c r="L515" i="2"/>
  <c r="L1019" i="2" s="1"/>
  <c r="N4" i="2"/>
  <c r="N1093" i="2" s="1"/>
  <c r="N345" i="2" s="1"/>
  <c r="N346" i="2" s="1"/>
  <c r="L4" i="2"/>
  <c r="L1093" i="2" s="1"/>
  <c r="J522" i="2"/>
  <c r="J1056" i="2"/>
  <c r="J1058" i="2"/>
  <c r="J1057" i="2"/>
  <c r="J1059" i="2"/>
  <c r="J1060" i="2"/>
  <c r="I341" i="2"/>
  <c r="H525" i="2"/>
  <c r="H426" i="2"/>
  <c r="O4" i="2"/>
  <c r="O1093" i="2" s="1"/>
  <c r="O345" i="2" s="1"/>
  <c r="O346" i="2" s="1"/>
  <c r="J1090" i="2"/>
  <c r="J668" i="2" s="1"/>
  <c r="C5" i="8" s="1"/>
  <c r="J1088" i="2"/>
  <c r="H522" i="2"/>
  <c r="H1059" i="2"/>
  <c r="H1057" i="2"/>
  <c r="H1060" i="2"/>
  <c r="H1056" i="2"/>
  <c r="H1058" i="2"/>
  <c r="N522" i="2"/>
  <c r="N1057" i="2"/>
  <c r="N1060" i="2"/>
  <c r="N1058" i="2"/>
  <c r="N1059" i="2"/>
  <c r="N1056" i="2"/>
  <c r="F515" i="2"/>
  <c r="F1019" i="2" s="1"/>
  <c r="I1091" i="2"/>
  <c r="I679" i="2" s="1"/>
  <c r="P4" i="2"/>
  <c r="J1091" i="2"/>
  <c r="J679" i="2" s="1"/>
  <c r="M515" i="2"/>
  <c r="M1019" i="2" s="1"/>
  <c r="I1090" i="2"/>
  <c r="I668" i="2" s="1"/>
  <c r="C4" i="8" s="1"/>
  <c r="I1088" i="2"/>
  <c r="M4" i="2"/>
  <c r="M1093" i="2" s="1"/>
  <c r="M345" i="2" s="1"/>
  <c r="M346" i="2" s="1"/>
  <c r="H327" i="2"/>
  <c r="J517" i="2"/>
  <c r="J1020" i="2"/>
  <c r="J1052" i="2"/>
  <c r="J1055" i="2"/>
  <c r="J1051" i="2"/>
  <c r="J1054" i="2"/>
  <c r="H517" i="2"/>
  <c r="H518" i="2" s="1"/>
  <c r="H1217" i="2" s="1"/>
  <c r="H1214" i="2" s="1"/>
  <c r="H1051" i="2"/>
  <c r="H1054" i="2"/>
  <c r="H1020" i="2"/>
  <c r="H1055" i="2"/>
  <c r="H1052" i="2"/>
  <c r="O522" i="2"/>
  <c r="O1057" i="2"/>
  <c r="O1060" i="2"/>
  <c r="O1056" i="2"/>
  <c r="O1059" i="2"/>
  <c r="O1058" i="2"/>
  <c r="I517" i="2"/>
  <c r="I1052" i="2"/>
  <c r="I1055" i="2"/>
  <c r="I1051" i="2"/>
  <c r="I1054" i="2"/>
  <c r="I1020" i="2"/>
  <c r="H1090" i="2"/>
  <c r="H668" i="2" s="1"/>
  <c r="C3" i="8" s="1"/>
  <c r="H1088" i="2"/>
  <c r="P841" i="2"/>
  <c r="P522" i="2"/>
  <c r="P1060" i="2"/>
  <c r="P1059" i="2"/>
  <c r="P1057" i="2"/>
  <c r="P1058" i="2"/>
  <c r="P1056" i="2"/>
  <c r="K515" i="2"/>
  <c r="K1019" i="2" s="1"/>
  <c r="K536" i="2"/>
  <c r="D318" i="4"/>
  <c r="J37" i="5"/>
  <c r="D272" i="4"/>
  <c r="D364" i="4"/>
  <c r="D136" i="4"/>
  <c r="D410" i="4"/>
  <c r="D92" i="4"/>
  <c r="D226" i="4"/>
  <c r="D180" i="4"/>
  <c r="M13" i="5"/>
  <c r="M15" i="5" s="1"/>
  <c r="J1" i="4"/>
  <c r="J33" i="4" s="1"/>
  <c r="F1" i="4"/>
  <c r="F33" i="4" s="1"/>
  <c r="G1" i="4"/>
  <c r="G33" i="4" s="1"/>
  <c r="I1" i="4"/>
  <c r="I33" i="4" s="1"/>
  <c r="N70" i="7"/>
  <c r="N65" i="7"/>
  <c r="N67" i="7"/>
  <c r="N66" i="7"/>
  <c r="N69" i="7"/>
  <c r="C7" i="7"/>
  <c r="C8" i="7" s="1"/>
  <c r="N68" i="7"/>
  <c r="I363" i="4"/>
  <c r="J363" i="4"/>
  <c r="F409" i="4"/>
  <c r="G409" i="4"/>
  <c r="J409" i="4"/>
  <c r="I409" i="4"/>
  <c r="F363" i="4"/>
  <c r="J271" i="4"/>
  <c r="G271" i="4"/>
  <c r="F317" i="4"/>
  <c r="G317" i="4"/>
  <c r="I317" i="4"/>
  <c r="J317" i="4"/>
  <c r="F271" i="4"/>
  <c r="J225" i="4"/>
  <c r="F225" i="4"/>
  <c r="I225" i="4"/>
  <c r="X69" i="7"/>
  <c r="X61" i="7"/>
  <c r="X53" i="7"/>
  <c r="X45" i="7"/>
  <c r="X37" i="7"/>
  <c r="X29" i="7"/>
  <c r="X21" i="7"/>
  <c r="X63" i="7"/>
  <c r="X72" i="7"/>
  <c r="X56" i="7"/>
  <c r="X48" i="7"/>
  <c r="X40" i="7"/>
  <c r="X32" i="7"/>
  <c r="X73" i="7"/>
  <c r="X65" i="7"/>
  <c r="X57" i="7"/>
  <c r="X49" i="7"/>
  <c r="X41" i="7"/>
  <c r="X33" i="7"/>
  <c r="X25" i="7"/>
  <c r="X70" i="7"/>
  <c r="X62" i="7"/>
  <c r="X54" i="7"/>
  <c r="X46" i="7"/>
  <c r="X38" i="7"/>
  <c r="X30" i="7"/>
  <c r="X22" i="7"/>
  <c r="X71" i="7"/>
  <c r="X55" i="7"/>
  <c r="X47" i="7"/>
  <c r="X39" i="7"/>
  <c r="X31" i="7"/>
  <c r="X23" i="7"/>
  <c r="X64" i="7"/>
  <c r="X24" i="7"/>
  <c r="X74" i="7"/>
  <c r="X66" i="7"/>
  <c r="X58" i="7"/>
  <c r="X50" i="7"/>
  <c r="X42" i="7"/>
  <c r="X34" i="7"/>
  <c r="X26" i="7"/>
  <c r="X75" i="7"/>
  <c r="X67" i="7"/>
  <c r="X59" i="7"/>
  <c r="X51" i="7"/>
  <c r="X43" i="7"/>
  <c r="X35" i="7"/>
  <c r="X27" i="7"/>
  <c r="X19" i="7"/>
  <c r="X68" i="7"/>
  <c r="X60" i="7"/>
  <c r="X52" i="7"/>
  <c r="X44" i="7"/>
  <c r="X36" i="7"/>
  <c r="X28" i="7"/>
  <c r="X20" i="7"/>
  <c r="F6" i="4"/>
  <c r="O102" i="5"/>
  <c r="O105" i="5" s="1"/>
  <c r="K85" i="7"/>
  <c r="N100" i="5"/>
  <c r="N105" i="5" s="1"/>
  <c r="G9" i="1"/>
  <c r="I14" i="5"/>
  <c r="J14" i="5" s="1"/>
  <c r="K14" i="5" s="1"/>
  <c r="L14" i="5" s="1"/>
  <c r="K87" i="7"/>
  <c r="Q102" i="5"/>
  <c r="Q105" i="5" s="1"/>
  <c r="K84" i="7"/>
  <c r="I6" i="4"/>
  <c r="K86" i="7"/>
  <c r="G6" i="4"/>
  <c r="Z78" i="7"/>
  <c r="H114" i="5"/>
  <c r="P100" i="5"/>
  <c r="P102" i="5"/>
  <c r="I10" i="5"/>
  <c r="J10" i="5" s="1"/>
  <c r="O85" i="5"/>
  <c r="O39" i="5"/>
  <c r="F76" i="7"/>
  <c r="F78" i="7"/>
  <c r="F80" i="7"/>
  <c r="I133" i="3"/>
  <c r="I134" i="3" s="1"/>
  <c r="I135" i="3" s="1"/>
  <c r="I136" i="3" s="1"/>
  <c r="H28" i="3"/>
  <c r="H108" i="3"/>
  <c r="H133" i="3"/>
  <c r="P85" i="5"/>
  <c r="P39" i="5"/>
  <c r="Q39" i="5"/>
  <c r="Q85" i="5"/>
  <c r="H112" i="5"/>
  <c r="H90" i="5"/>
  <c r="H85" i="5"/>
  <c r="H39" i="5"/>
  <c r="H13" i="5"/>
  <c r="H15" i="5" s="1"/>
  <c r="F234" i="7"/>
  <c r="F230" i="7"/>
  <c r="F232" i="7"/>
  <c r="I85" i="5"/>
  <c r="I39" i="5"/>
  <c r="H102" i="5"/>
  <c r="I102" i="5" s="1"/>
  <c r="J102" i="5" s="1"/>
  <c r="K102" i="5" s="1"/>
  <c r="L102" i="5" s="1"/>
  <c r="H100" i="5"/>
  <c r="F181" i="7"/>
  <c r="F183" i="7"/>
  <c r="F179" i="7"/>
  <c r="H64" i="5"/>
  <c r="N39" i="5"/>
  <c r="N85" i="5"/>
  <c r="F131" i="7"/>
  <c r="F129" i="7"/>
  <c r="F127" i="7"/>
  <c r="H71" i="5"/>
  <c r="J6" i="4"/>
  <c r="AD78" i="7"/>
  <c r="AF78" i="7"/>
  <c r="AE78" i="7"/>
  <c r="AC78" i="7"/>
  <c r="E2" i="8" l="1"/>
  <c r="I525" i="2"/>
  <c r="J525" i="2" s="1"/>
  <c r="Q4" i="2"/>
  <c r="P1093" i="2"/>
  <c r="J508" i="2"/>
  <c r="J688" i="2" s="1"/>
  <c r="J1089" i="2"/>
  <c r="J527" i="2" s="1"/>
  <c r="O1084" i="2"/>
  <c r="P1084" i="2" s="1"/>
  <c r="I327" i="2"/>
  <c r="I676" i="2"/>
  <c r="J673" i="2"/>
  <c r="O1085" i="2"/>
  <c r="P1085" i="2" s="1"/>
  <c r="K1090" i="2"/>
  <c r="K668" i="2" s="1"/>
  <c r="C6" i="8" s="1"/>
  <c r="K1088" i="2"/>
  <c r="L345" i="2"/>
  <c r="L346" i="2" s="1"/>
  <c r="L536" i="2"/>
  <c r="G508" i="2"/>
  <c r="G688" i="2" s="1"/>
  <c r="G1230" i="2" s="1"/>
  <c r="G1089" i="2"/>
  <c r="L1086" i="2"/>
  <c r="I508" i="2"/>
  <c r="I688" i="2" s="1"/>
  <c r="I1089" i="2"/>
  <c r="I527" i="2" s="1"/>
  <c r="I426" i="2"/>
  <c r="H794" i="2"/>
  <c r="I673" i="2"/>
  <c r="G676" i="2"/>
  <c r="G1081" i="2"/>
  <c r="G1082" i="2"/>
  <c r="O536" i="2"/>
  <c r="H508" i="2"/>
  <c r="H688" i="2" s="1"/>
  <c r="H1089" i="2"/>
  <c r="H527" i="2" s="1"/>
  <c r="I518" i="2"/>
  <c r="I1217" i="2" s="1"/>
  <c r="I1214" i="2" s="1"/>
  <c r="M536" i="2"/>
  <c r="H673" i="2"/>
  <c r="J676" i="2"/>
  <c r="N536" i="2"/>
  <c r="H676" i="2"/>
  <c r="K341" i="2"/>
  <c r="K803" i="2"/>
  <c r="M88" i="5"/>
  <c r="M20" i="5"/>
  <c r="M16" i="5"/>
  <c r="K10" i="5"/>
  <c r="F54" i="3"/>
  <c r="E52" i="3"/>
  <c r="E55" i="3" s="1"/>
  <c r="H22" i="28"/>
  <c r="H102" i="28"/>
  <c r="I19" i="5"/>
  <c r="J19" i="5" s="1"/>
  <c r="K19" i="5" s="1"/>
  <c r="L19" i="5" s="1"/>
  <c r="I114" i="5"/>
  <c r="J114" i="5" s="1"/>
  <c r="F35" i="3"/>
  <c r="K89" i="7"/>
  <c r="K90" i="7" s="1"/>
  <c r="F53" i="3"/>
  <c r="P105" i="5"/>
  <c r="H115" i="5"/>
  <c r="H117" i="5" s="1"/>
  <c r="I112" i="5"/>
  <c r="J112" i="5" s="1"/>
  <c r="K112" i="5" s="1"/>
  <c r="L112" i="5" s="1"/>
  <c r="I71" i="5"/>
  <c r="F130" i="7"/>
  <c r="F79" i="7"/>
  <c r="H88" i="5"/>
  <c r="H20" i="5"/>
  <c r="I64" i="5"/>
  <c r="H106" i="29"/>
  <c r="H102" i="27"/>
  <c r="H106" i="3"/>
  <c r="H22" i="3"/>
  <c r="H26" i="28"/>
  <c r="H26" i="25"/>
  <c r="H106" i="31"/>
  <c r="H22" i="30"/>
  <c r="H106" i="25"/>
  <c r="H26" i="3"/>
  <c r="H102" i="31"/>
  <c r="H106" i="30"/>
  <c r="H102" i="29"/>
  <c r="H106" i="28"/>
  <c r="H26" i="27"/>
  <c r="H106" i="26"/>
  <c r="H106" i="27"/>
  <c r="H26" i="26"/>
  <c r="H102" i="25"/>
  <c r="H22" i="31"/>
  <c r="H22" i="29"/>
  <c r="H26" i="31"/>
  <c r="H26" i="29"/>
  <c r="H22" i="27"/>
  <c r="H26" i="30"/>
  <c r="H102" i="3"/>
  <c r="H22" i="25"/>
  <c r="H102" i="30"/>
  <c r="H102" i="26"/>
  <c r="H22" i="26"/>
  <c r="F233" i="7"/>
  <c r="F182" i="7"/>
  <c r="F81" i="7"/>
  <c r="H134" i="3"/>
  <c r="F133" i="3"/>
  <c r="F184" i="7"/>
  <c r="F235" i="7"/>
  <c r="F132" i="7"/>
  <c r="H105" i="5"/>
  <c r="I100" i="5"/>
  <c r="I61" i="5"/>
  <c r="J1095" i="2" l="1"/>
  <c r="H1095" i="2"/>
  <c r="I1095" i="2"/>
  <c r="G1231" i="2"/>
  <c r="G1173" i="2"/>
  <c r="G1229" i="2"/>
  <c r="J686" i="2"/>
  <c r="D5" i="8" s="1"/>
  <c r="J1173" i="2"/>
  <c r="J1229" i="2"/>
  <c r="J1231" i="2"/>
  <c r="J1230" i="2"/>
  <c r="J1232" i="2"/>
  <c r="I686" i="2"/>
  <c r="D4" i="8" s="1"/>
  <c r="I1231" i="2"/>
  <c r="H686" i="2"/>
  <c r="D3" i="8" s="1"/>
  <c r="H1229" i="2"/>
  <c r="H1232" i="2"/>
  <c r="K525" i="2"/>
  <c r="K1087" i="2" s="1"/>
  <c r="J528" i="2"/>
  <c r="J518" i="2"/>
  <c r="J1217" i="2" s="1"/>
  <c r="J1214" i="2" s="1"/>
  <c r="I680" i="2"/>
  <c r="B4" i="8" s="1"/>
  <c r="I1082" i="2"/>
  <c r="I1081" i="2"/>
  <c r="I1083" i="2" s="1"/>
  <c r="I528" i="2"/>
  <c r="L341" i="2"/>
  <c r="I1094" i="2"/>
  <c r="I511" i="2"/>
  <c r="I909" i="2"/>
  <c r="I1229" i="2"/>
  <c r="J1094" i="2"/>
  <c r="J511" i="2"/>
  <c r="K508" i="2"/>
  <c r="K688" i="2" s="1"/>
  <c r="K686" i="2" s="1"/>
  <c r="D6" i="8" s="1"/>
  <c r="I1173" i="2"/>
  <c r="P345" i="2"/>
  <c r="P346" i="2" s="1"/>
  <c r="P536" i="2"/>
  <c r="G697" i="2"/>
  <c r="G1228" i="2" s="1"/>
  <c r="G686" i="2"/>
  <c r="D2" i="8" s="1"/>
  <c r="F2" i="8" s="1"/>
  <c r="H2" i="8" s="1"/>
  <c r="L1090" i="2"/>
  <c r="L668" i="2" s="1"/>
  <c r="C18" i="8" s="1"/>
  <c r="L1088" i="2"/>
  <c r="M1086" i="2"/>
  <c r="K673" i="2"/>
  <c r="I1232" i="2"/>
  <c r="Q1093" i="2"/>
  <c r="Q1090" i="2"/>
  <c r="Q668" i="2" s="1"/>
  <c r="Q1088" i="2"/>
  <c r="H1230" i="2"/>
  <c r="H1094" i="2"/>
  <c r="H511" i="2"/>
  <c r="H512" i="2" s="1"/>
  <c r="I1230" i="2"/>
  <c r="H1173" i="2"/>
  <c r="H680" i="2"/>
  <c r="H1082" i="2"/>
  <c r="H1081" i="2"/>
  <c r="H1083" i="2" s="1"/>
  <c r="G1232" i="2"/>
  <c r="H528" i="2"/>
  <c r="J909" i="2"/>
  <c r="G1095" i="2"/>
  <c r="G795" i="2" s="1"/>
  <c r="G909" i="2"/>
  <c r="G910" i="2" s="1"/>
  <c r="G1094" i="2"/>
  <c r="J680" i="2"/>
  <c r="B5" i="8" s="1"/>
  <c r="J1081" i="2"/>
  <c r="J1083" i="2" s="1"/>
  <c r="J1082" i="2"/>
  <c r="H909" i="2"/>
  <c r="J327" i="2"/>
  <c r="H1231" i="2"/>
  <c r="J426" i="2"/>
  <c r="I794" i="2"/>
  <c r="L10" i="5"/>
  <c r="I105" i="5"/>
  <c r="J100" i="5"/>
  <c r="M21" i="5"/>
  <c r="K114" i="5"/>
  <c r="J115" i="5"/>
  <c r="J43" i="5"/>
  <c r="J49" i="5" s="1"/>
  <c r="F52" i="3"/>
  <c r="F55" i="3" s="1"/>
  <c r="I115" i="5"/>
  <c r="I117" i="5" s="1"/>
  <c r="N112" i="5"/>
  <c r="N115" i="5" s="1"/>
  <c r="N117" i="5" s="1"/>
  <c r="I90" i="5"/>
  <c r="J90" i="5" s="1"/>
  <c r="K90" i="5" s="1"/>
  <c r="L90" i="5" s="1"/>
  <c r="F8" i="3"/>
  <c r="F63" i="3"/>
  <c r="I13" i="5"/>
  <c r="J13" i="5" s="1"/>
  <c r="N19" i="5"/>
  <c r="J32" i="3"/>
  <c r="H135" i="3"/>
  <c r="F134" i="3"/>
  <c r="N61" i="5"/>
  <c r="H76" i="5"/>
  <c r="G60" i="3"/>
  <c r="F60" i="3" s="1"/>
  <c r="N64" i="5"/>
  <c r="H70" i="5"/>
  <c r="H46" i="5"/>
  <c r="H47" i="5"/>
  <c r="H45" i="5"/>
  <c r="H48" i="5"/>
  <c r="N71" i="5"/>
  <c r="B3" i="8" l="1"/>
  <c r="E3" i="8" s="1"/>
  <c r="J1092" i="2"/>
  <c r="I1092" i="2"/>
  <c r="K1091" i="2"/>
  <c r="K679" i="2" s="1"/>
  <c r="K1230" i="2" s="1"/>
  <c r="K1089" i="2"/>
  <c r="K527" i="2" s="1"/>
  <c r="K909" i="2" s="1"/>
  <c r="L525" i="2"/>
  <c r="L1087" i="2" s="1"/>
  <c r="L1091" i="2" s="1"/>
  <c r="L679" i="2" s="1"/>
  <c r="H1092" i="2"/>
  <c r="H910" i="2"/>
  <c r="I910" i="2" s="1"/>
  <c r="J910" i="2" s="1"/>
  <c r="F5" i="8"/>
  <c r="H5" i="8" s="1"/>
  <c r="E5" i="8"/>
  <c r="F4" i="8"/>
  <c r="H4" i="8" s="1"/>
  <c r="E4" i="8"/>
  <c r="H795" i="2"/>
  <c r="G830" i="2"/>
  <c r="G427" i="2" s="1"/>
  <c r="Q673" i="2"/>
  <c r="Q1091" i="2"/>
  <c r="Q679" i="2" s="1"/>
  <c r="Q536" i="2"/>
  <c r="Q532" i="2" s="1"/>
  <c r="Q533" i="2" s="1"/>
  <c r="L508" i="2"/>
  <c r="L688" i="2" s="1"/>
  <c r="L673" i="2"/>
  <c r="I512" i="2"/>
  <c r="J512" i="2" s="1"/>
  <c r="I1208" i="2"/>
  <c r="I697" i="2"/>
  <c r="I1207" i="2"/>
  <c r="I698" i="2" s="1"/>
  <c r="I1071" i="2"/>
  <c r="I1070" i="2"/>
  <c r="I681" i="2" s="1"/>
  <c r="I1045" i="2"/>
  <c r="I707" i="2"/>
  <c r="I1218" i="2"/>
  <c r="I1048" i="2"/>
  <c r="I1069" i="2"/>
  <c r="I1046" i="2"/>
  <c r="I1049" i="2"/>
  <c r="J1208" i="2"/>
  <c r="J697" i="2"/>
  <c r="J1207" i="2"/>
  <c r="J698" i="2" s="1"/>
  <c r="J1046" i="2"/>
  <c r="J1071" i="2"/>
  <c r="J1070" i="2"/>
  <c r="J681" i="2" s="1"/>
  <c r="J1049" i="2"/>
  <c r="J1069" i="2"/>
  <c r="J707" i="2"/>
  <c r="J1048" i="2"/>
  <c r="J1045" i="2"/>
  <c r="J1218" i="2"/>
  <c r="H804" i="2"/>
  <c r="H513" i="2"/>
  <c r="G1208" i="2"/>
  <c r="G1209" i="2" s="1"/>
  <c r="G1207" i="2"/>
  <c r="G698" i="2" s="1"/>
  <c r="G699" i="2" s="1"/>
  <c r="G707" i="2"/>
  <c r="G708" i="2" s="1"/>
  <c r="K1094" i="2"/>
  <c r="K511" i="2"/>
  <c r="K520" i="2"/>
  <c r="K516" i="2" s="1"/>
  <c r="G6" i="8" s="1"/>
  <c r="G779" i="2"/>
  <c r="K327" i="2"/>
  <c r="G826" i="2"/>
  <c r="M1090" i="2"/>
  <c r="M668" i="2" s="1"/>
  <c r="C30" i="8" s="1"/>
  <c r="M1088" i="2"/>
  <c r="G1225" i="2"/>
  <c r="G1092" i="2"/>
  <c r="K426" i="2"/>
  <c r="J794" i="2"/>
  <c r="H1208" i="2"/>
  <c r="H1070" i="2"/>
  <c r="H697" i="2"/>
  <c r="H1228" i="2" s="1"/>
  <c r="H1045" i="2"/>
  <c r="H1071" i="2"/>
  <c r="H1074" i="2" s="1"/>
  <c r="H1049" i="2"/>
  <c r="H1069" i="2"/>
  <c r="H1072" i="2" s="1"/>
  <c r="H707" i="2"/>
  <c r="H1207" i="2"/>
  <c r="H698" i="2" s="1"/>
  <c r="H1048" i="2"/>
  <c r="H1046" i="2"/>
  <c r="H1218" i="2"/>
  <c r="H1224" i="2"/>
  <c r="Q508" i="2"/>
  <c r="Q1089" i="2"/>
  <c r="Q527" i="2" s="1"/>
  <c r="N1086" i="2"/>
  <c r="K13" i="5"/>
  <c r="J15" i="5"/>
  <c r="J105" i="5"/>
  <c r="K100" i="5"/>
  <c r="K115" i="5"/>
  <c r="L114" i="5"/>
  <c r="L115" i="5" s="1"/>
  <c r="J117" i="5"/>
  <c r="K43" i="5"/>
  <c r="K49" i="5" s="1"/>
  <c r="H23" i="5"/>
  <c r="H92" i="5" s="1"/>
  <c r="H93" i="5" s="1"/>
  <c r="G49" i="3"/>
  <c r="F49" i="3" s="1"/>
  <c r="O112" i="5"/>
  <c r="O115" i="5" s="1"/>
  <c r="O117" i="5" s="1"/>
  <c r="H44" i="5"/>
  <c r="H78" i="4"/>
  <c r="O64" i="5"/>
  <c r="I76" i="5"/>
  <c r="N90" i="5"/>
  <c r="H73" i="5"/>
  <c r="O19" i="5"/>
  <c r="I70" i="5"/>
  <c r="I48" i="5"/>
  <c r="I46" i="5"/>
  <c r="I45" i="5"/>
  <c r="I47" i="5"/>
  <c r="O71" i="5"/>
  <c r="O61" i="5"/>
  <c r="H136" i="3"/>
  <c r="F136" i="3" s="1"/>
  <c r="E136" i="3" s="1"/>
  <c r="E135" i="3" s="1"/>
  <c r="E134" i="3" s="1"/>
  <c r="E133" i="3" s="1"/>
  <c r="F62" i="3" s="1"/>
  <c r="F135" i="3"/>
  <c r="H43" i="5"/>
  <c r="F3" i="8" l="1"/>
  <c r="H3" i="8" s="1"/>
  <c r="K1232" i="2"/>
  <c r="M525" i="2"/>
  <c r="N525" i="2" s="1"/>
  <c r="O525" i="2" s="1"/>
  <c r="K1229" i="2"/>
  <c r="K1173" i="2"/>
  <c r="K1095" i="2"/>
  <c r="K1092" i="2" s="1"/>
  <c r="K676" i="2"/>
  <c r="K680" i="2" s="1"/>
  <c r="K1082" i="2"/>
  <c r="K528" i="2"/>
  <c r="K530" i="2" s="1"/>
  <c r="K1231" i="2"/>
  <c r="K1081" i="2"/>
  <c r="K1083" i="2" s="1"/>
  <c r="I1072" i="2"/>
  <c r="J1072" i="2" s="1"/>
  <c r="H708" i="2"/>
  <c r="I708" i="2" s="1"/>
  <c r="J708" i="2" s="1"/>
  <c r="H1225" i="2"/>
  <c r="I1228" i="2"/>
  <c r="H699" i="2"/>
  <c r="I699" i="2" s="1"/>
  <c r="J699" i="2" s="1"/>
  <c r="L1229" i="2"/>
  <c r="L1231" i="2"/>
  <c r="L1173" i="2"/>
  <c r="L1230" i="2"/>
  <c r="L1232" i="2"/>
  <c r="L676" i="2"/>
  <c r="L680" i="2" s="1"/>
  <c r="Q1094" i="2"/>
  <c r="Q511" i="2"/>
  <c r="Q520" i="2"/>
  <c r="H1221" i="2"/>
  <c r="I1224" i="2"/>
  <c r="H1042" i="2"/>
  <c r="H1039" i="2" s="1"/>
  <c r="H1044" i="2"/>
  <c r="H1043" i="2"/>
  <c r="I1074" i="2"/>
  <c r="H1209" i="2"/>
  <c r="G1213" i="2"/>
  <c r="G1210" i="2" s="1"/>
  <c r="L327" i="2"/>
  <c r="H779" i="2"/>
  <c r="G780" i="2"/>
  <c r="L1081" i="2"/>
  <c r="L1083" i="2" s="1"/>
  <c r="L1082" i="2"/>
  <c r="K910" i="2"/>
  <c r="I342" i="2"/>
  <c r="H805" i="2"/>
  <c r="L686" i="2"/>
  <c r="D18" i="8" s="1"/>
  <c r="L1089" i="2"/>
  <c r="L527" i="2" s="1"/>
  <c r="J804" i="2"/>
  <c r="J513" i="2"/>
  <c r="H681" i="2"/>
  <c r="H682" i="2" s="1"/>
  <c r="I682" i="2" s="1"/>
  <c r="J682" i="2" s="1"/>
  <c r="H1073" i="2"/>
  <c r="I1073" i="2" s="1"/>
  <c r="J1073" i="2" s="1"/>
  <c r="K517" i="2"/>
  <c r="K518" i="2" s="1"/>
  <c r="K1217" i="2" s="1"/>
  <c r="K1020" i="2"/>
  <c r="K1052" i="2"/>
  <c r="K1055" i="2"/>
  <c r="K1051" i="2"/>
  <c r="K1054" i="2"/>
  <c r="I804" i="2"/>
  <c r="I513" i="2"/>
  <c r="L1094" i="2"/>
  <c r="L511" i="2"/>
  <c r="L512" i="2" s="1"/>
  <c r="L520" i="2"/>
  <c r="L516" i="2" s="1"/>
  <c r="G18" i="8" s="1"/>
  <c r="M508" i="2"/>
  <c r="K512" i="2"/>
  <c r="Q688" i="2"/>
  <c r="Q686" i="2" s="1"/>
  <c r="N1090" i="2"/>
  <c r="N668" i="2" s="1"/>
  <c r="C42" i="8" s="1"/>
  <c r="N1088" i="2"/>
  <c r="O1086" i="2"/>
  <c r="M673" i="2"/>
  <c r="Q676" i="2"/>
  <c r="Q680" i="2" s="1"/>
  <c r="Q1095" i="2"/>
  <c r="Q909" i="2"/>
  <c r="Q528" i="2"/>
  <c r="K794" i="2"/>
  <c r="L426" i="2"/>
  <c r="H826" i="2"/>
  <c r="G820" i="2"/>
  <c r="G816" i="2" s="1"/>
  <c r="G827" i="2" s="1"/>
  <c r="I795" i="2"/>
  <c r="H830" i="2"/>
  <c r="H427" i="2" s="1"/>
  <c r="L100" i="5"/>
  <c r="L105" i="5" s="1"/>
  <c r="K105" i="5"/>
  <c r="L13" i="5"/>
  <c r="L15" i="5" s="1"/>
  <c r="K15" i="5"/>
  <c r="J20" i="5"/>
  <c r="J88" i="5"/>
  <c r="J16" i="5"/>
  <c r="K117" i="5"/>
  <c r="L117" i="5"/>
  <c r="L43" i="5"/>
  <c r="L49" i="5" s="1"/>
  <c r="M23" i="5"/>
  <c r="H24" i="5"/>
  <c r="P19" i="5"/>
  <c r="P112" i="5"/>
  <c r="P115" i="5" s="1"/>
  <c r="P117" i="5" s="1"/>
  <c r="N13" i="5"/>
  <c r="H49" i="5"/>
  <c r="I44" i="5"/>
  <c r="I43" i="5"/>
  <c r="I47" i="4"/>
  <c r="I78" i="4"/>
  <c r="P61" i="5"/>
  <c r="I73" i="5"/>
  <c r="P64" i="5"/>
  <c r="J78" i="4"/>
  <c r="J47" i="4"/>
  <c r="P71" i="5"/>
  <c r="Q112" i="5"/>
  <c r="Q115" i="5" s="1"/>
  <c r="Q117" i="5" s="1"/>
  <c r="F47" i="4"/>
  <c r="F45" i="4" s="1"/>
  <c r="F78" i="4"/>
  <c r="N70" i="5"/>
  <c r="N48" i="5"/>
  <c r="N46" i="5"/>
  <c r="N45" i="5"/>
  <c r="N47" i="5"/>
  <c r="O90" i="5"/>
  <c r="G47" i="4"/>
  <c r="G78" i="4"/>
  <c r="B6" i="8" l="1"/>
  <c r="F6" i="8" s="1"/>
  <c r="H6" i="8" s="1"/>
  <c r="F10" i="54"/>
  <c r="B18" i="8"/>
  <c r="E18" i="8" s="1"/>
  <c r="G10" i="54"/>
  <c r="K1207" i="2"/>
  <c r="K698" i="2" s="1"/>
  <c r="K699" i="2" s="1"/>
  <c r="K1218" i="2"/>
  <c r="K1045" i="2"/>
  <c r="K697" i="2"/>
  <c r="M1087" i="2"/>
  <c r="M1091" i="2" s="1"/>
  <c r="M679" i="2" s="1"/>
  <c r="M676" i="2" s="1"/>
  <c r="M680" i="2" s="1"/>
  <c r="K1069" i="2"/>
  <c r="K1072" i="2" s="1"/>
  <c r="K1071" i="2"/>
  <c r="K1049" i="2"/>
  <c r="K707" i="2"/>
  <c r="K708" i="2" s="1"/>
  <c r="F12" i="54" s="1"/>
  <c r="K1070" i="2"/>
  <c r="K681" i="2" s="1"/>
  <c r="K682" i="2" s="1"/>
  <c r="F11" i="54" s="1"/>
  <c r="K1208" i="2"/>
  <c r="K1046" i="2"/>
  <c r="K1048" i="2"/>
  <c r="Q1208" i="2"/>
  <c r="Q697" i="2"/>
  <c r="Q1207" i="2"/>
  <c r="Q698" i="2" s="1"/>
  <c r="Q707" i="2"/>
  <c r="Q1045" i="2"/>
  <c r="Q1070" i="2"/>
  <c r="Q681" i="2" s="1"/>
  <c r="Q1071" i="2"/>
  <c r="Q1049" i="2"/>
  <c r="Q1048" i="2"/>
  <c r="Q1069" i="2"/>
  <c r="Q1046" i="2"/>
  <c r="O1090" i="2"/>
  <c r="O668" i="2" s="1"/>
  <c r="C54" i="8" s="1"/>
  <c r="O1088" i="2"/>
  <c r="P1086" i="2"/>
  <c r="J342" i="2"/>
  <c r="I805" i="2"/>
  <c r="Q516" i="2"/>
  <c r="Q517" i="2" s="1"/>
  <c r="Q1052" i="2"/>
  <c r="Q1055" i="2"/>
  <c r="Q1051" i="2"/>
  <c r="Q1054" i="2"/>
  <c r="Q1173" i="2"/>
  <c r="Q1232" i="2"/>
  <c r="N508" i="2"/>
  <c r="N688" i="2" s="1"/>
  <c r="N686" i="2" s="1"/>
  <c r="D42" i="8" s="1"/>
  <c r="M1094" i="2"/>
  <c r="M511" i="2"/>
  <c r="M512" i="2" s="1"/>
  <c r="M520" i="2"/>
  <c r="M516" i="2" s="1"/>
  <c r="G30" i="8" s="1"/>
  <c r="H799" i="2"/>
  <c r="I1209" i="2"/>
  <c r="H1213" i="2"/>
  <c r="H1210" i="2" s="1"/>
  <c r="J795" i="2"/>
  <c r="I830" i="2"/>
  <c r="I427" i="2" s="1"/>
  <c r="Q1230" i="2"/>
  <c r="N673" i="2"/>
  <c r="I1042" i="2"/>
  <c r="I1039" i="2" s="1"/>
  <c r="I1043" i="2"/>
  <c r="I1044" i="2"/>
  <c r="J1074" i="2"/>
  <c r="Q1092" i="2"/>
  <c r="I1225" i="2"/>
  <c r="J1228" i="2"/>
  <c r="L517" i="2"/>
  <c r="L518" i="2" s="1"/>
  <c r="L1217" i="2" s="1"/>
  <c r="L1020" i="2"/>
  <c r="L1051" i="2"/>
  <c r="L1054" i="2"/>
  <c r="L1052" i="2"/>
  <c r="L1055" i="2"/>
  <c r="L1208" i="2"/>
  <c r="L1070" i="2"/>
  <c r="L681" i="2" s="1"/>
  <c r="L707" i="2"/>
  <c r="L697" i="2"/>
  <c r="L1048" i="2"/>
  <c r="L1071" i="2"/>
  <c r="L1046" i="2"/>
  <c r="L1207" i="2"/>
  <c r="L698" i="2" s="1"/>
  <c r="L1045" i="2"/>
  <c r="L1069" i="2"/>
  <c r="L1049" i="2"/>
  <c r="L1218" i="2"/>
  <c r="L804" i="2"/>
  <c r="L513" i="2"/>
  <c r="K342" i="2"/>
  <c r="J805" i="2"/>
  <c r="G773" i="2"/>
  <c r="G781" i="2"/>
  <c r="G809" i="2"/>
  <c r="G828" i="2"/>
  <c r="I779" i="2"/>
  <c r="H780" i="2"/>
  <c r="P525" i="2"/>
  <c r="I826" i="2"/>
  <c r="H820" i="2"/>
  <c r="H816" i="2" s="1"/>
  <c r="H827" i="2" s="1"/>
  <c r="H809" i="2" s="1"/>
  <c r="L794" i="2"/>
  <c r="L537" i="2" s="1"/>
  <c r="M426" i="2"/>
  <c r="Q1231" i="2"/>
  <c r="M688" i="2"/>
  <c r="L1095" i="2"/>
  <c r="L1092" i="2" s="1"/>
  <c r="L909" i="2"/>
  <c r="L910" i="2" s="1"/>
  <c r="L528" i="2"/>
  <c r="I1221" i="2"/>
  <c r="J1224" i="2"/>
  <c r="K537" i="2"/>
  <c r="Q1229" i="2"/>
  <c r="K804" i="2"/>
  <c r="K513" i="2"/>
  <c r="M327" i="2"/>
  <c r="K20" i="5"/>
  <c r="K88" i="5"/>
  <c r="K16" i="5"/>
  <c r="J62" i="5"/>
  <c r="J63" i="5" s="1"/>
  <c r="J65" i="5" s="1"/>
  <c r="J21" i="5"/>
  <c r="L20" i="5"/>
  <c r="L88" i="5"/>
  <c r="L16" i="5"/>
  <c r="M92" i="5"/>
  <c r="M93" i="5" s="1"/>
  <c r="M95" i="5" s="1"/>
  <c r="M120" i="5" s="1"/>
  <c r="M24" i="5"/>
  <c r="J77" i="5"/>
  <c r="J79" i="5" s="1"/>
  <c r="J81" i="5" s="1"/>
  <c r="J54" i="5"/>
  <c r="J55" i="5" s="1"/>
  <c r="J57" i="5" s="1"/>
  <c r="M43" i="5"/>
  <c r="M49" i="5" s="1"/>
  <c r="H62" i="5"/>
  <c r="P90" i="5"/>
  <c r="G45" i="4"/>
  <c r="N44" i="5"/>
  <c r="I49" i="5"/>
  <c r="J45" i="4"/>
  <c r="N76" i="5"/>
  <c r="Q61" i="5"/>
  <c r="O13" i="5"/>
  <c r="Q19" i="5"/>
  <c r="Q71" i="5"/>
  <c r="Q64" i="5"/>
  <c r="O70" i="5"/>
  <c r="O48" i="5"/>
  <c r="O46" i="5"/>
  <c r="O47" i="5"/>
  <c r="O45" i="5"/>
  <c r="I45" i="4"/>
  <c r="F18" i="8" l="1"/>
  <c r="H18" i="8" s="1"/>
  <c r="E6" i="8"/>
  <c r="B30" i="8"/>
  <c r="E30" i="8" s="1"/>
  <c r="H10" i="54"/>
  <c r="M1081" i="2"/>
  <c r="M1083" i="2" s="1"/>
  <c r="M1082" i="2"/>
  <c r="M1089" i="2"/>
  <c r="M527" i="2" s="1"/>
  <c r="N1087" i="2"/>
  <c r="N1091" i="2" s="1"/>
  <c r="N679" i="2" s="1"/>
  <c r="N676" i="2" s="1"/>
  <c r="N680" i="2" s="1"/>
  <c r="L1072" i="2"/>
  <c r="L682" i="2"/>
  <c r="G11" i="54" s="1"/>
  <c r="K1073" i="2"/>
  <c r="L1073" i="2" s="1"/>
  <c r="L699" i="2"/>
  <c r="L530" i="2"/>
  <c r="J799" i="2"/>
  <c r="I799" i="2"/>
  <c r="K538" i="2"/>
  <c r="K532" i="2" s="1"/>
  <c r="K533" i="2" s="1"/>
  <c r="K534" i="2" s="1"/>
  <c r="K531" i="2"/>
  <c r="H773" i="2"/>
  <c r="H781" i="2"/>
  <c r="J779" i="2"/>
  <c r="I780" i="2"/>
  <c r="J1042" i="2"/>
  <c r="J1039" i="2" s="1"/>
  <c r="J1043" i="2"/>
  <c r="J1044" i="2"/>
  <c r="K1074" i="2"/>
  <c r="M517" i="2"/>
  <c r="M518" i="2" s="1"/>
  <c r="M1217" i="2" s="1"/>
  <c r="M1020" i="2"/>
  <c r="M1052" i="2"/>
  <c r="M1055" i="2"/>
  <c r="M1051" i="2"/>
  <c r="M1054" i="2"/>
  <c r="P1090" i="2"/>
  <c r="P668" i="2" s="1"/>
  <c r="C66" i="8" s="1"/>
  <c r="P1088" i="2"/>
  <c r="L538" i="2"/>
  <c r="L532" i="2" s="1"/>
  <c r="L533" i="2" s="1"/>
  <c r="L531" i="2"/>
  <c r="M686" i="2"/>
  <c r="D30" i="8" s="1"/>
  <c r="M1230" i="2"/>
  <c r="M1232" i="2"/>
  <c r="M1229" i="2"/>
  <c r="M1231" i="2"/>
  <c r="M1173" i="2"/>
  <c r="M804" i="2"/>
  <c r="M513" i="2"/>
  <c r="O508" i="2"/>
  <c r="O688" i="2" s="1"/>
  <c r="J826" i="2"/>
  <c r="I820" i="2"/>
  <c r="I816" i="2" s="1"/>
  <c r="I827" i="2" s="1"/>
  <c r="I809" i="2" s="1"/>
  <c r="G798" i="2"/>
  <c r="G835" i="2"/>
  <c r="G829" i="2"/>
  <c r="M342" i="2"/>
  <c r="K795" i="2"/>
  <c r="J830" i="2"/>
  <c r="J427" i="2" s="1"/>
  <c r="O673" i="2"/>
  <c r="M697" i="2"/>
  <c r="M1071" i="2"/>
  <c r="M1070" i="2"/>
  <c r="M681" i="2" s="1"/>
  <c r="M1048" i="2"/>
  <c r="M1218" i="2"/>
  <c r="M1049" i="2"/>
  <c r="M1046" i="2"/>
  <c r="M1069" i="2"/>
  <c r="M1045" i="2"/>
  <c r="N426" i="2"/>
  <c r="M794" i="2"/>
  <c r="M537" i="2" s="1"/>
  <c r="L708" i="2"/>
  <c r="G12" i="54" s="1"/>
  <c r="J1209" i="2"/>
  <c r="I1213" i="2"/>
  <c r="I1210" i="2" s="1"/>
  <c r="N1094" i="2"/>
  <c r="N511" i="2"/>
  <c r="N512" i="2" s="1"/>
  <c r="N520" i="2"/>
  <c r="N516" i="2" s="1"/>
  <c r="G42" i="8" s="1"/>
  <c r="N327" i="2"/>
  <c r="K1224" i="2"/>
  <c r="J1221" i="2"/>
  <c r="G796" i="2"/>
  <c r="G715" i="2"/>
  <c r="L342" i="2"/>
  <c r="L803" i="2"/>
  <c r="K805" i="2"/>
  <c r="K1228" i="2"/>
  <c r="J1225" i="2"/>
  <c r="H828" i="2"/>
  <c r="M25" i="5"/>
  <c r="J83" i="5"/>
  <c r="K21" i="5"/>
  <c r="L21" i="5"/>
  <c r="K77" i="5"/>
  <c r="K79" i="5" s="1"/>
  <c r="K81" i="5" s="1"/>
  <c r="K36" i="5"/>
  <c r="K54" i="5"/>
  <c r="K55" i="5" s="1"/>
  <c r="K57" i="5" s="1"/>
  <c r="I62" i="5"/>
  <c r="P13" i="5"/>
  <c r="O44" i="5"/>
  <c r="Q90" i="5"/>
  <c r="N73" i="5"/>
  <c r="P70" i="5"/>
  <c r="P46" i="5"/>
  <c r="P45" i="5"/>
  <c r="P47" i="5"/>
  <c r="P48" i="5"/>
  <c r="F30" i="8" l="1"/>
  <c r="H30" i="8" s="1"/>
  <c r="B42" i="8"/>
  <c r="E42" i="8" s="1"/>
  <c r="I10" i="54"/>
  <c r="N1082" i="2"/>
  <c r="M682" i="2"/>
  <c r="H11" i="54" s="1"/>
  <c r="M1072" i="2"/>
  <c r="N1232" i="2"/>
  <c r="O1087" i="2"/>
  <c r="O1089" i="2" s="1"/>
  <c r="O527" i="2" s="1"/>
  <c r="O909" i="2" s="1"/>
  <c r="N1081" i="2"/>
  <c r="N1083" i="2" s="1"/>
  <c r="N1173" i="2"/>
  <c r="N1231" i="2"/>
  <c r="N1229" i="2"/>
  <c r="N1230" i="2"/>
  <c r="N1089" i="2"/>
  <c r="N527" i="2" s="1"/>
  <c r="N909" i="2" s="1"/>
  <c r="M1095" i="2"/>
  <c r="M1092" i="2" s="1"/>
  <c r="M528" i="2"/>
  <c r="M909" i="2"/>
  <c r="M910" i="2" s="1"/>
  <c r="M1073" i="2"/>
  <c r="M1207" i="2"/>
  <c r="M698" i="2" s="1"/>
  <c r="M699" i="2" s="1"/>
  <c r="O686" i="2"/>
  <c r="D54" i="8" s="1"/>
  <c r="M707" i="2"/>
  <c r="M708" i="2" s="1"/>
  <c r="H12" i="54" s="1"/>
  <c r="F42" i="8"/>
  <c r="H42" i="8" s="1"/>
  <c r="M1208" i="2"/>
  <c r="L534" i="2"/>
  <c r="G836" i="2"/>
  <c r="N804" i="2"/>
  <c r="N513" i="2"/>
  <c r="N342" i="2"/>
  <c r="I773" i="2"/>
  <c r="I781" i="2"/>
  <c r="I828" i="2"/>
  <c r="K779" i="2"/>
  <c r="J780" i="2"/>
  <c r="K799" i="2"/>
  <c r="K1221" i="2"/>
  <c r="L1224" i="2"/>
  <c r="K1209" i="2"/>
  <c r="J1213" i="2"/>
  <c r="J1210" i="2" s="1"/>
  <c r="P508" i="2"/>
  <c r="P688" i="2" s="1"/>
  <c r="H715" i="2"/>
  <c r="H796" i="2"/>
  <c r="M341" i="2"/>
  <c r="L805" i="2"/>
  <c r="O426" i="2"/>
  <c r="N794" i="2"/>
  <c r="P673" i="2"/>
  <c r="K1042" i="2"/>
  <c r="K1039" i="2" s="1"/>
  <c r="K1044" i="2"/>
  <c r="E20" i="7" s="1"/>
  <c r="L1074" i="2"/>
  <c r="K1043" i="2"/>
  <c r="D20" i="7" s="1"/>
  <c r="M538" i="2"/>
  <c r="M532" i="2" s="1"/>
  <c r="M533" i="2" s="1"/>
  <c r="M531" i="2"/>
  <c r="O327" i="2"/>
  <c r="L795" i="2"/>
  <c r="K830" i="2"/>
  <c r="K427" i="2" s="1"/>
  <c r="K826" i="2"/>
  <c r="J820" i="2"/>
  <c r="J816" i="2" s="1"/>
  <c r="J827" i="2" s="1"/>
  <c r="N1208" i="2"/>
  <c r="N1207" i="2"/>
  <c r="N698" i="2" s="1"/>
  <c r="N1070" i="2"/>
  <c r="N681" i="2" s="1"/>
  <c r="N707" i="2"/>
  <c r="N1049" i="2"/>
  <c r="N1069" i="2"/>
  <c r="N697" i="2"/>
  <c r="N1071" i="2"/>
  <c r="N1046" i="2"/>
  <c r="N1048" i="2"/>
  <c r="N1218" i="2"/>
  <c r="N1045" i="2"/>
  <c r="L1228" i="2"/>
  <c r="K1225" i="2"/>
  <c r="H835" i="2"/>
  <c r="H829" i="2"/>
  <c r="H798" i="2"/>
  <c r="N517" i="2"/>
  <c r="N518" i="2" s="1"/>
  <c r="N1217" i="2" s="1"/>
  <c r="N1020" i="2"/>
  <c r="N1051" i="2"/>
  <c r="N1054" i="2"/>
  <c r="N1055" i="2"/>
  <c r="N1052" i="2"/>
  <c r="M803" i="2"/>
  <c r="N803" i="2" s="1"/>
  <c r="O1094" i="2"/>
  <c r="O511" i="2"/>
  <c r="O512" i="2" s="1"/>
  <c r="O520" i="2"/>
  <c r="O516" i="2" s="1"/>
  <c r="G54" i="8" s="1"/>
  <c r="K62" i="5"/>
  <c r="K63" i="5" s="1"/>
  <c r="K65" i="5" s="1"/>
  <c r="K83" i="5" s="1"/>
  <c r="N43" i="5"/>
  <c r="N49" i="5" s="1"/>
  <c r="K37" i="5"/>
  <c r="L77" i="5"/>
  <c r="L79" i="5" s="1"/>
  <c r="L81" i="5" s="1"/>
  <c r="L36" i="5"/>
  <c r="L54" i="5"/>
  <c r="L55" i="5" s="1"/>
  <c r="L57" i="5" s="1"/>
  <c r="I23" i="5"/>
  <c r="O76" i="5"/>
  <c r="Q70" i="5"/>
  <c r="Q45" i="5"/>
  <c r="Q47" i="5"/>
  <c r="Q46" i="5"/>
  <c r="Q48" i="5"/>
  <c r="Q37" i="5"/>
  <c r="P44" i="5"/>
  <c r="N682" i="2" l="1"/>
  <c r="I11" i="54" s="1"/>
  <c r="N1072" i="2"/>
  <c r="N910" i="2"/>
  <c r="O910" i="2" s="1"/>
  <c r="N1095" i="2"/>
  <c r="N1092" i="2" s="1"/>
  <c r="M530" i="2"/>
  <c r="N528" i="2"/>
  <c r="O1091" i="2"/>
  <c r="O679" i="2" s="1"/>
  <c r="P1087" i="2"/>
  <c r="H836" i="2"/>
  <c r="O528" i="2"/>
  <c r="M534" i="2"/>
  <c r="N708" i="2"/>
  <c r="I12" i="54" s="1"/>
  <c r="N699" i="2"/>
  <c r="O341" i="2"/>
  <c r="N805" i="2"/>
  <c r="J809" i="2"/>
  <c r="J828" i="2"/>
  <c r="L779" i="2"/>
  <c r="K780" i="2"/>
  <c r="O804" i="2"/>
  <c r="O513" i="2"/>
  <c r="L826" i="2"/>
  <c r="K820" i="2"/>
  <c r="K816" i="2" s="1"/>
  <c r="K827" i="2" s="1"/>
  <c r="L1044" i="2"/>
  <c r="E21" i="7" s="1"/>
  <c r="L1042" i="2"/>
  <c r="M1074" i="2"/>
  <c r="L1043" i="2"/>
  <c r="D21" i="7" s="1"/>
  <c r="P426" i="2"/>
  <c r="P794" i="2" s="1"/>
  <c r="O794" i="2"/>
  <c r="O537" i="2" s="1"/>
  <c r="O517" i="2"/>
  <c r="O518" i="2" s="1"/>
  <c r="O1217" i="2" s="1"/>
  <c r="O1020" i="2"/>
  <c r="O1052" i="2"/>
  <c r="O1055" i="2"/>
  <c r="O1054" i="2"/>
  <c r="O1051" i="2"/>
  <c r="L799" i="2"/>
  <c r="L1209" i="2"/>
  <c r="K1213" i="2"/>
  <c r="K1210" i="2" s="1"/>
  <c r="N341" i="2"/>
  <c r="M805" i="2"/>
  <c r="M795" i="2"/>
  <c r="L830" i="2"/>
  <c r="L427" i="2" s="1"/>
  <c r="M1224" i="2"/>
  <c r="O342" i="2"/>
  <c r="O803" i="2"/>
  <c r="N1073" i="2"/>
  <c r="Q326" i="2"/>
  <c r="Q324" i="2" s="1"/>
  <c r="P327" i="2"/>
  <c r="I798" i="2"/>
  <c r="I835" i="2"/>
  <c r="I829" i="2"/>
  <c r="P686" i="2"/>
  <c r="D66" i="8" s="1"/>
  <c r="C668" i="2"/>
  <c r="P1094" i="2"/>
  <c r="P511" i="2"/>
  <c r="P512" i="2" s="1"/>
  <c r="P520" i="2"/>
  <c r="P516" i="2" s="1"/>
  <c r="G66" i="8" s="1"/>
  <c r="I715" i="2"/>
  <c r="I796" i="2"/>
  <c r="M1228" i="2"/>
  <c r="N537" i="2"/>
  <c r="J773" i="2"/>
  <c r="J781" i="2"/>
  <c r="M36" i="5"/>
  <c r="M37" i="5"/>
  <c r="L37" i="5"/>
  <c r="I92" i="5"/>
  <c r="J23" i="5"/>
  <c r="O43" i="5"/>
  <c r="O49" i="5" s="1"/>
  <c r="L62" i="5"/>
  <c r="L63" i="5" s="1"/>
  <c r="L65" i="5" s="1"/>
  <c r="L83" i="5" s="1"/>
  <c r="M62" i="5"/>
  <c r="M63" i="5" s="1"/>
  <c r="M65" i="5" s="1"/>
  <c r="M54" i="5"/>
  <c r="M55" i="5" s="1"/>
  <c r="M57" i="5" s="1"/>
  <c r="M77" i="5"/>
  <c r="M79" i="5" s="1"/>
  <c r="M81" i="5" s="1"/>
  <c r="N23" i="5"/>
  <c r="N92" i="5" s="1"/>
  <c r="Q44" i="5"/>
  <c r="P76" i="5"/>
  <c r="O73" i="5"/>
  <c r="N530" i="2" l="1"/>
  <c r="O530" i="2" s="1"/>
  <c r="P1091" i="2"/>
  <c r="P679" i="2" s="1"/>
  <c r="P1089" i="2"/>
  <c r="P527" i="2" s="1"/>
  <c r="O676" i="2"/>
  <c r="O680" i="2" s="1"/>
  <c r="O1230" i="2"/>
  <c r="O1232" i="2"/>
  <c r="O1231" i="2"/>
  <c r="O1173" i="2"/>
  <c r="O1229" i="2"/>
  <c r="O1081" i="2"/>
  <c r="O1083" i="2" s="1"/>
  <c r="O1082" i="2"/>
  <c r="O1095" i="2"/>
  <c r="O1092" i="2" s="1"/>
  <c r="I836" i="2"/>
  <c r="N538" i="2"/>
  <c r="N532" i="2" s="1"/>
  <c r="N533" i="2" s="1"/>
  <c r="N534" i="2" s="1"/>
  <c r="N531" i="2"/>
  <c r="Q512" i="2"/>
  <c r="Q804" i="2" s="1"/>
  <c r="P804" i="2"/>
  <c r="P513" i="2"/>
  <c r="Q327" i="2"/>
  <c r="M826" i="2"/>
  <c r="L820" i="2"/>
  <c r="L816" i="2" s="1"/>
  <c r="L827" i="2" s="1"/>
  <c r="J798" i="2"/>
  <c r="J835" i="2"/>
  <c r="J829" i="2"/>
  <c r="P537" i="2"/>
  <c r="Q794" i="2"/>
  <c r="Q537" i="2" s="1"/>
  <c r="Q531" i="2" s="1"/>
  <c r="P342" i="2"/>
  <c r="P803" i="2"/>
  <c r="N799" i="2"/>
  <c r="N1228" i="2"/>
  <c r="N1224" i="2"/>
  <c r="P341" i="2"/>
  <c r="O805" i="2"/>
  <c r="M1209" i="2"/>
  <c r="L1213" i="2"/>
  <c r="M1042" i="2"/>
  <c r="M1043" i="2"/>
  <c r="D22" i="7" s="1"/>
  <c r="M1044" i="2"/>
  <c r="E22" i="7" s="1"/>
  <c r="N1074" i="2"/>
  <c r="K773" i="2"/>
  <c r="K781" i="2"/>
  <c r="M779" i="2"/>
  <c r="L780" i="2"/>
  <c r="J796" i="2"/>
  <c r="J715" i="2"/>
  <c r="N795" i="2"/>
  <c r="M830" i="2"/>
  <c r="M427" i="2" s="1"/>
  <c r="O538" i="2"/>
  <c r="O532" i="2" s="1"/>
  <c r="O533" i="2" s="1"/>
  <c r="O531" i="2"/>
  <c r="P517" i="2"/>
  <c r="P518" i="2" s="1"/>
  <c r="P1051" i="2"/>
  <c r="P1054" i="2"/>
  <c r="P1020" i="2"/>
  <c r="P1055" i="2"/>
  <c r="P1052" i="2"/>
  <c r="M799" i="2"/>
  <c r="K809" i="2"/>
  <c r="K828" i="2"/>
  <c r="M83" i="5"/>
  <c r="J92" i="5"/>
  <c r="J93" i="5" s="1"/>
  <c r="K23" i="5"/>
  <c r="J24" i="5"/>
  <c r="N62" i="5"/>
  <c r="P43" i="5"/>
  <c r="P49" i="5" s="1"/>
  <c r="Q13" i="5"/>
  <c r="P73" i="5"/>
  <c r="P1095" i="2" l="1"/>
  <c r="P1092" i="2" s="1"/>
  <c r="P909" i="2"/>
  <c r="P910" i="2" s="1"/>
  <c r="Q910" i="2" s="1"/>
  <c r="P528" i="2"/>
  <c r="P530" i="2" s="1"/>
  <c r="Q530" i="2" s="1"/>
  <c r="B54" i="8"/>
  <c r="O1208" i="2"/>
  <c r="O1048" i="2"/>
  <c r="O697" i="2"/>
  <c r="O1228" i="2" s="1"/>
  <c r="O707" i="2"/>
  <c r="O708" i="2" s="1"/>
  <c r="O1071" i="2"/>
  <c r="O1074" i="2" s="1"/>
  <c r="O1207" i="2"/>
  <c r="O698" i="2" s="1"/>
  <c r="O699" i="2" s="1"/>
  <c r="O1046" i="2"/>
  <c r="O1045" i="2"/>
  <c r="O1218" i="2"/>
  <c r="O1049" i="2"/>
  <c r="O1069" i="2"/>
  <c r="O1072" i="2" s="1"/>
  <c r="O1070" i="2"/>
  <c r="P676" i="2"/>
  <c r="P680" i="2" s="1"/>
  <c r="P1173" i="2"/>
  <c r="P1229" i="2"/>
  <c r="C1051" i="2" s="1"/>
  <c r="P1232" i="2"/>
  <c r="C1055" i="2" s="1"/>
  <c r="P1230" i="2"/>
  <c r="C1052" i="2" s="1"/>
  <c r="P1082" i="2"/>
  <c r="P1081" i="2"/>
  <c r="P1083" i="2" s="1"/>
  <c r="P1231" i="2"/>
  <c r="C1054" i="2" s="1"/>
  <c r="O534" i="2"/>
  <c r="N1043" i="2"/>
  <c r="D23" i="7" s="1"/>
  <c r="N1042" i="2"/>
  <c r="N1044" i="2"/>
  <c r="E23" i="7" s="1"/>
  <c r="O1224" i="2"/>
  <c r="Q803" i="2"/>
  <c r="Q805" i="2" s="1"/>
  <c r="P805" i="2"/>
  <c r="J836" i="2"/>
  <c r="L809" i="2"/>
  <c r="L828" i="2"/>
  <c r="K829" i="2"/>
  <c r="K798" i="2"/>
  <c r="K835" i="2"/>
  <c r="L773" i="2"/>
  <c r="L781" i="2"/>
  <c r="N826" i="2"/>
  <c r="M820" i="2"/>
  <c r="M816" i="2" s="1"/>
  <c r="M827" i="2" s="1"/>
  <c r="P538" i="2"/>
  <c r="P532" i="2" s="1"/>
  <c r="P533" i="2" s="1"/>
  <c r="P531" i="2"/>
  <c r="O795" i="2"/>
  <c r="N830" i="2"/>
  <c r="N427" i="2" s="1"/>
  <c r="N1209" i="2"/>
  <c r="M1213" i="2"/>
  <c r="N779" i="2"/>
  <c r="M780" i="2"/>
  <c r="K715" i="2"/>
  <c r="K796" i="2"/>
  <c r="O799" i="2"/>
  <c r="P1217" i="2"/>
  <c r="Q518" i="2"/>
  <c r="K92" i="5"/>
  <c r="K93" i="5" s="1"/>
  <c r="L23" i="5"/>
  <c r="K24" i="5"/>
  <c r="J25" i="5"/>
  <c r="O62" i="5"/>
  <c r="O23" i="5"/>
  <c r="O92" i="5" s="1"/>
  <c r="Q43" i="5"/>
  <c r="Q49" i="5" s="1"/>
  <c r="F54" i="8" l="1"/>
  <c r="H54" i="8" s="1"/>
  <c r="E54" i="8"/>
  <c r="O681" i="2"/>
  <c r="O682" i="2" s="1"/>
  <c r="O1073" i="2"/>
  <c r="B66" i="8"/>
  <c r="P1045" i="2"/>
  <c r="C1045" i="2" s="1"/>
  <c r="P1049" i="2"/>
  <c r="C1049" i="2" s="1"/>
  <c r="P1069" i="2"/>
  <c r="P1072" i="2" s="1"/>
  <c r="Q1072" i="2" s="1"/>
  <c r="P1208" i="2"/>
  <c r="P697" i="2"/>
  <c r="P1228" i="2" s="1"/>
  <c r="O1225" i="2" s="1"/>
  <c r="P1070" i="2"/>
  <c r="P681" i="2" s="1"/>
  <c r="P682" i="2" s="1"/>
  <c r="Q682" i="2" s="1"/>
  <c r="P1048" i="2"/>
  <c r="C1048" i="2" s="1"/>
  <c r="P1071" i="2"/>
  <c r="P1074" i="2" s="1"/>
  <c r="P1218" i="2"/>
  <c r="P1207" i="2"/>
  <c r="P698" i="2" s="1"/>
  <c r="P699" i="2" s="1"/>
  <c r="Q699" i="2" s="1"/>
  <c r="P1046" i="2"/>
  <c r="C1046" i="2" s="1"/>
  <c r="P707" i="2"/>
  <c r="P708" i="2" s="1"/>
  <c r="Q708" i="2" s="1"/>
  <c r="P534" i="2"/>
  <c r="Q534" i="2" s="1"/>
  <c r="K836" i="2"/>
  <c r="O779" i="2"/>
  <c r="N780" i="2"/>
  <c r="M809" i="2"/>
  <c r="M828" i="2"/>
  <c r="M773" i="2"/>
  <c r="M781" i="2"/>
  <c r="O826" i="2"/>
  <c r="N820" i="2"/>
  <c r="N816" i="2" s="1"/>
  <c r="N827" i="2" s="1"/>
  <c r="P1224" i="2"/>
  <c r="O1221" i="2" s="1"/>
  <c r="O1209" i="2"/>
  <c r="N1213" i="2"/>
  <c r="L715" i="2"/>
  <c r="L796" i="2"/>
  <c r="P1214" i="2"/>
  <c r="L1214" i="2"/>
  <c r="K1214" i="2"/>
  <c r="M1214" i="2"/>
  <c r="N1214" i="2"/>
  <c r="O1214" i="2"/>
  <c r="P795" i="2"/>
  <c r="O830" i="2"/>
  <c r="O427" i="2" s="1"/>
  <c r="O1043" i="2"/>
  <c r="D24" i="7" s="1"/>
  <c r="O1044" i="2"/>
  <c r="E24" i="7" s="1"/>
  <c r="O1042" i="2"/>
  <c r="P799" i="2"/>
  <c r="L835" i="2"/>
  <c r="L798" i="2"/>
  <c r="L829" i="2"/>
  <c r="Q799" i="2"/>
  <c r="P62" i="5"/>
  <c r="K25" i="5"/>
  <c r="L92" i="5"/>
  <c r="L93" i="5" s="1"/>
  <c r="L24" i="5"/>
  <c r="Q76" i="5"/>
  <c r="L1221" i="2" l="1"/>
  <c r="L1225" i="2"/>
  <c r="F66" i="8"/>
  <c r="H66" i="8" s="1"/>
  <c r="E66" i="8"/>
  <c r="P1073" i="2"/>
  <c r="Q1073" i="2" s="1"/>
  <c r="L685" i="2"/>
  <c r="L840" i="2" s="1"/>
  <c r="L841" i="2" s="1"/>
  <c r="M1221" i="2"/>
  <c r="M1225" i="2"/>
  <c r="L836" i="2"/>
  <c r="P1042" i="2"/>
  <c r="Q1074" i="2"/>
  <c r="P1044" i="2"/>
  <c r="E25" i="7" s="1"/>
  <c r="P1043" i="2"/>
  <c r="D25" i="7" s="1"/>
  <c r="N809" i="2"/>
  <c r="N828" i="2"/>
  <c r="P1225" i="2"/>
  <c r="N1225" i="2"/>
  <c r="P826" i="2"/>
  <c r="O820" i="2"/>
  <c r="O816" i="2" s="1"/>
  <c r="O827" i="2" s="1"/>
  <c r="Q795" i="2"/>
  <c r="Q830" i="2" s="1"/>
  <c r="P830" i="2"/>
  <c r="P427" i="2" s="1"/>
  <c r="M796" i="2"/>
  <c r="M715" i="2"/>
  <c r="M835" i="2"/>
  <c r="M829" i="2"/>
  <c r="M798" i="2"/>
  <c r="P1209" i="2"/>
  <c r="O1213" i="2"/>
  <c r="N773" i="2"/>
  <c r="N781" i="2"/>
  <c r="P1221" i="2"/>
  <c r="N1221" i="2"/>
  <c r="P779" i="2"/>
  <c r="O780" i="2"/>
  <c r="Q62" i="5"/>
  <c r="L25" i="5"/>
  <c r="P23" i="5"/>
  <c r="P92" i="5" s="1"/>
  <c r="Q73" i="5"/>
  <c r="P1039" i="2" l="1"/>
  <c r="L1039" i="2"/>
  <c r="N685" i="2"/>
  <c r="N840" i="2" s="1"/>
  <c r="N841" i="2" s="1"/>
  <c r="O685" i="2"/>
  <c r="O840" i="2" s="1"/>
  <c r="O841" i="2" s="1"/>
  <c r="H685" i="2"/>
  <c r="H840" i="2" s="1"/>
  <c r="H841" i="2" s="1"/>
  <c r="I685" i="2"/>
  <c r="I840" i="2" s="1"/>
  <c r="I841" i="2" s="1"/>
  <c r="G685" i="2"/>
  <c r="G840" i="2" s="1"/>
  <c r="G841" i="2" s="1"/>
  <c r="M685" i="2"/>
  <c r="M840" i="2" s="1"/>
  <c r="M841" i="2" s="1"/>
  <c r="K685" i="2"/>
  <c r="K840" i="2" s="1"/>
  <c r="K841" i="2" s="1"/>
  <c r="J685" i="2"/>
  <c r="J840" i="2" s="1"/>
  <c r="J841" i="2" s="1"/>
  <c r="M1039" i="2"/>
  <c r="N1039" i="2"/>
  <c r="N798" i="2"/>
  <c r="N829" i="2"/>
  <c r="N835" i="2"/>
  <c r="N796" i="2"/>
  <c r="N715" i="2"/>
  <c r="Q779" i="2"/>
  <c r="Q780" i="2" s="1"/>
  <c r="P780" i="2"/>
  <c r="O809" i="2"/>
  <c r="O828" i="2"/>
  <c r="Q826" i="2"/>
  <c r="Q820" i="2" s="1"/>
  <c r="Q816" i="2" s="1"/>
  <c r="Q827" i="2" s="1"/>
  <c r="P820" i="2"/>
  <c r="P816" i="2" s="1"/>
  <c r="P827" i="2" s="1"/>
  <c r="O773" i="2"/>
  <c r="O781" i="2"/>
  <c r="Q1209" i="2"/>
  <c r="R1209" i="2" s="1"/>
  <c r="R1" i="2" s="1"/>
  <c r="J106" i="5" s="1"/>
  <c r="J107" i="5" s="1"/>
  <c r="P1213" i="2"/>
  <c r="M836" i="2"/>
  <c r="O1039" i="2"/>
  <c r="M28" i="5"/>
  <c r="M29" i="5" s="1"/>
  <c r="L28" i="5"/>
  <c r="L29" i="5" s="1"/>
  <c r="J28" i="5"/>
  <c r="J29" i="5" s="1"/>
  <c r="K28" i="5"/>
  <c r="K29" i="5" s="1"/>
  <c r="Q23" i="5"/>
  <c r="Q92" i="5" s="1"/>
  <c r="M1210" i="2" l="1"/>
  <c r="L1210" i="2"/>
  <c r="K96" i="5"/>
  <c r="M106" i="5"/>
  <c r="M107" i="5" s="1"/>
  <c r="L96" i="5"/>
  <c r="K106" i="5"/>
  <c r="K107" i="5" s="1"/>
  <c r="J96" i="5"/>
  <c r="M96" i="5"/>
  <c r="M97" i="5" s="1"/>
  <c r="L106" i="5"/>
  <c r="L107" i="5" s="1"/>
  <c r="P1210" i="2"/>
  <c r="N1210" i="2"/>
  <c r="Q773" i="2"/>
  <c r="Q781" i="2"/>
  <c r="P773" i="2"/>
  <c r="P781" i="2"/>
  <c r="P809" i="2"/>
  <c r="P828" i="2"/>
  <c r="Q809" i="2"/>
  <c r="Q828" i="2"/>
  <c r="N836" i="2"/>
  <c r="O1210" i="2"/>
  <c r="O835" i="2"/>
  <c r="O798" i="2"/>
  <c r="O829" i="2"/>
  <c r="O715" i="2"/>
  <c r="O796" i="2"/>
  <c r="J33" i="5"/>
  <c r="J30" i="5"/>
  <c r="M33" i="5"/>
  <c r="M30" i="5"/>
  <c r="L33" i="5"/>
  <c r="L30" i="5"/>
  <c r="K33" i="5"/>
  <c r="K30" i="5"/>
  <c r="O15" i="5"/>
  <c r="O88" i="5" s="1"/>
  <c r="O93" i="5" s="1"/>
  <c r="Q15" i="5"/>
  <c r="Q88" i="5" s="1"/>
  <c r="Q93" i="5" s="1"/>
  <c r="M109" i="5" l="1"/>
  <c r="M119" i="5"/>
  <c r="O836" i="2"/>
  <c r="P798" i="2"/>
  <c r="P835" i="2"/>
  <c r="P829" i="2"/>
  <c r="Q796" i="2"/>
  <c r="Q715" i="2"/>
  <c r="P796" i="2"/>
  <c r="P715" i="2"/>
  <c r="Q835" i="2"/>
  <c r="Q829" i="2"/>
  <c r="Q798" i="2"/>
  <c r="O20" i="5"/>
  <c r="O24" i="5" s="1"/>
  <c r="O25" i="5" s="1"/>
  <c r="Q20" i="5"/>
  <c r="Q24" i="5" s="1"/>
  <c r="Q25" i="5" s="1"/>
  <c r="P15" i="5"/>
  <c r="P88" i="5" s="1"/>
  <c r="P93" i="5" s="1"/>
  <c r="N15" i="5"/>
  <c r="N88" i="5" s="1"/>
  <c r="N93" i="5" s="1"/>
  <c r="Q16" i="5"/>
  <c r="O16" i="5"/>
  <c r="I15" i="5"/>
  <c r="I20" i="5" s="1"/>
  <c r="I24" i="5" s="1"/>
  <c r="I25" i="5" s="1"/>
  <c r="Q836" i="2" l="1"/>
  <c r="P836" i="2"/>
  <c r="P16" i="5"/>
  <c r="Q21" i="5"/>
  <c r="O21" i="5"/>
  <c r="I16" i="5"/>
  <c r="I21" i="5"/>
  <c r="N16" i="5"/>
  <c r="P20" i="5"/>
  <c r="N20" i="5"/>
  <c r="I88" i="5"/>
  <c r="I93" i="5" s="1"/>
  <c r="N24" i="5" l="1"/>
  <c r="N25" i="5" s="1"/>
  <c r="N21" i="5"/>
  <c r="P24" i="5"/>
  <c r="P25" i="5" s="1"/>
  <c r="P21" i="5"/>
  <c r="H52" i="5"/>
  <c r="I52" i="5" l="1"/>
  <c r="O94" i="5" l="1"/>
  <c r="O95" i="5" s="1"/>
  <c r="O120" i="5" s="1"/>
  <c r="N94" i="5"/>
  <c r="N95" i="5" s="1"/>
  <c r="N120" i="5" s="1"/>
  <c r="O52" i="5" l="1"/>
  <c r="N52" i="5"/>
  <c r="P94" i="5" l="1"/>
  <c r="P95" i="5" s="1"/>
  <c r="P120" i="5" s="1"/>
  <c r="Q94" i="5"/>
  <c r="Q95" i="5" s="1"/>
  <c r="Q120" i="5" s="1"/>
  <c r="Q52" i="5" l="1"/>
  <c r="P52" i="5"/>
  <c r="J8" i="3" l="1"/>
  <c r="I26" i="7" l="1"/>
  <c r="I24" i="7"/>
  <c r="N79" i="3" l="1" a="1"/>
  <c r="N79" i="3" s="1"/>
  <c r="H79" i="3" s="1"/>
  <c r="N78" i="3" a="1"/>
  <c r="N78" i="3" s="1"/>
  <c r="H78" i="3" s="1"/>
  <c r="H77" i="5"/>
  <c r="I77" i="5" l="1"/>
  <c r="N77" i="5" l="1"/>
  <c r="O77" i="5" l="1"/>
  <c r="P77" i="5" l="1"/>
  <c r="Q77" i="5" l="1"/>
  <c r="H53" i="5" l="1"/>
  <c r="I53" i="5" l="1"/>
  <c r="N53" i="5" l="1"/>
  <c r="O53" i="5" l="1"/>
  <c r="P53" i="5" l="1"/>
  <c r="H94" i="5"/>
  <c r="H78" i="5" l="1"/>
  <c r="H79" i="5" s="1"/>
  <c r="H81" i="5" s="1"/>
  <c r="Q53" i="5"/>
  <c r="H95" i="5"/>
  <c r="I94" i="5"/>
  <c r="I95" i="5" l="1"/>
  <c r="I120" i="5" s="1"/>
  <c r="J94" i="5"/>
  <c r="F15" i="3"/>
  <c r="I79" i="5"/>
  <c r="I81" i="5" s="1"/>
  <c r="H120" i="5"/>
  <c r="K94" i="5" l="1"/>
  <c r="J95" i="5"/>
  <c r="N79" i="5"/>
  <c r="N81" i="5" s="1"/>
  <c r="H54" i="5"/>
  <c r="H55" i="5" s="1"/>
  <c r="H57" i="5" s="1"/>
  <c r="H63" i="5" s="1"/>
  <c r="H65" i="5" s="1"/>
  <c r="H83" i="5" s="1"/>
  <c r="J120" i="5" l="1"/>
  <c r="J97" i="5"/>
  <c r="L94" i="5"/>
  <c r="L95" i="5" s="1"/>
  <c r="K95" i="5"/>
  <c r="I54" i="5"/>
  <c r="I55" i="5" s="1"/>
  <c r="I57" i="5" s="1"/>
  <c r="I63" i="5" s="1"/>
  <c r="I65" i="5" s="1"/>
  <c r="I83" i="5" s="1"/>
  <c r="O79" i="5"/>
  <c r="O81" i="5" s="1"/>
  <c r="L120" i="5" l="1"/>
  <c r="L97" i="5"/>
  <c r="J119" i="5"/>
  <c r="J109" i="5"/>
  <c r="K120" i="5"/>
  <c r="K97" i="5"/>
  <c r="N54" i="5"/>
  <c r="N55" i="5" s="1"/>
  <c r="N57" i="5" s="1"/>
  <c r="N63" i="5" s="1"/>
  <c r="N65" i="5" s="1"/>
  <c r="N83" i="5" s="1"/>
  <c r="P79" i="5"/>
  <c r="P81" i="5" s="1"/>
  <c r="N36" i="5"/>
  <c r="G83" i="7"/>
  <c r="F20" i="3"/>
  <c r="J22" i="3" s="1"/>
  <c r="F100" i="3"/>
  <c r="J102" i="3" s="1"/>
  <c r="J106" i="3" s="1"/>
  <c r="J108" i="3" s="1"/>
  <c r="I36" i="5"/>
  <c r="K109" i="5" l="1"/>
  <c r="K119" i="5"/>
  <c r="L109" i="5"/>
  <c r="L119" i="5"/>
  <c r="O54" i="5"/>
  <c r="O55" i="5" s="1"/>
  <c r="O57" i="5" s="1"/>
  <c r="O63" i="5" s="1"/>
  <c r="O65" i="5" s="1"/>
  <c r="O83" i="5" s="1"/>
  <c r="Q79" i="5"/>
  <c r="Q81" i="5" s="1"/>
  <c r="K91" i="7"/>
  <c r="G74" i="7"/>
  <c r="N37" i="5"/>
  <c r="N25" i="3"/>
  <c r="J26" i="3"/>
  <c r="J28" i="3" s="1"/>
  <c r="N28" i="3"/>
  <c r="N27" i="3"/>
  <c r="N24" i="3"/>
  <c r="I37" i="5"/>
  <c r="Q36" i="5"/>
  <c r="G88" i="7"/>
  <c r="G111" i="7" s="1"/>
  <c r="G97" i="7"/>
  <c r="G120" i="7" s="1"/>
  <c r="G96" i="7"/>
  <c r="G123" i="7"/>
  <c r="G125" i="7" s="1"/>
  <c r="G76" i="7"/>
  <c r="G99" i="7" s="1"/>
  <c r="G87" i="7"/>
  <c r="G92" i="7"/>
  <c r="G69" i="3"/>
  <c r="F69" i="3" s="1"/>
  <c r="G89" i="7"/>
  <c r="G112" i="7" s="1"/>
  <c r="G78" i="7"/>
  <c r="G101" i="7" s="1"/>
  <c r="G80" i="7"/>
  <c r="G103" i="7" s="1"/>
  <c r="G77" i="7"/>
  <c r="G100" i="7" s="1"/>
  <c r="G81" i="7"/>
  <c r="G104" i="7" s="1"/>
  <c r="G67" i="3"/>
  <c r="G85" i="7"/>
  <c r="G108" i="7" s="1"/>
  <c r="G90" i="7"/>
  <c r="G113" i="7" s="1"/>
  <c r="G79" i="7"/>
  <c r="G102" i="7" s="1"/>
  <c r="G94" i="7"/>
  <c r="H69" i="3" l="1"/>
  <c r="J69" i="3"/>
  <c r="I69" i="3" s="1"/>
  <c r="P54" i="5"/>
  <c r="P55" i="5" s="1"/>
  <c r="P57" i="5" s="1"/>
  <c r="P63" i="5" s="1"/>
  <c r="P65" i="5" s="1"/>
  <c r="P83" i="5" s="1"/>
  <c r="G119" i="7"/>
  <c r="G95" i="7"/>
  <c r="G117" i="7"/>
  <c r="G93" i="7"/>
  <c r="G115" i="7"/>
  <c r="G91" i="7"/>
  <c r="G110" i="7"/>
  <c r="G86" i="7"/>
  <c r="G84" i="7" s="1"/>
  <c r="G82" i="7" s="1"/>
  <c r="G106" i="7"/>
  <c r="A78" i="3" a="1"/>
  <c r="A78" i="3" s="1"/>
  <c r="G78" i="3" s="1"/>
  <c r="F78" i="3" s="1"/>
  <c r="O36" i="5"/>
  <c r="F96" i="3"/>
  <c r="F95" i="3" s="1"/>
  <c r="F111" i="3" s="1"/>
  <c r="J111" i="3" s="1"/>
  <c r="I111" i="3" s="1"/>
  <c r="G182" i="7"/>
  <c r="G205" i="7" s="1"/>
  <c r="G179" i="7"/>
  <c r="G202" i="7" s="1"/>
  <c r="G184" i="7"/>
  <c r="G207" i="7" s="1"/>
  <c r="G68" i="3"/>
  <c r="G226" i="7"/>
  <c r="G228" i="7" s="1"/>
  <c r="G197" i="7"/>
  <c r="G181" i="7"/>
  <c r="G204" i="7" s="1"/>
  <c r="G195" i="7"/>
  <c r="G191" i="7"/>
  <c r="G214" i="7" s="1"/>
  <c r="G186" i="7"/>
  <c r="G180" i="7"/>
  <c r="G203" i="7" s="1"/>
  <c r="G200" i="7"/>
  <c r="G223" i="7" s="1"/>
  <c r="G190" i="7"/>
  <c r="G193" i="7"/>
  <c r="G216" i="7" s="1"/>
  <c r="G188" i="7"/>
  <c r="G183" i="7"/>
  <c r="G206" i="7" s="1"/>
  <c r="G199" i="7"/>
  <c r="G192" i="7"/>
  <c r="G215" i="7" s="1"/>
  <c r="F16" i="3"/>
  <c r="F33" i="3" s="1"/>
  <c r="F36" i="3" s="1"/>
  <c r="G70" i="3" s="1"/>
  <c r="F70" i="3" s="1"/>
  <c r="G163" i="7"/>
  <c r="G166" i="7"/>
  <c r="G153" i="7"/>
  <c r="G159" i="7"/>
  <c r="G155" i="7"/>
  <c r="G174" i="7"/>
  <c r="G176" i="7" s="1"/>
  <c r="G154" i="7"/>
  <c r="G150" i="7"/>
  <c r="G162" i="7"/>
  <c r="G171" i="7"/>
  <c r="G116" i="3"/>
  <c r="F116" i="3" s="1"/>
  <c r="G164" i="7"/>
  <c r="G151" i="7"/>
  <c r="G170" i="7"/>
  <c r="G152" i="7"/>
  <c r="G114" i="3"/>
  <c r="G161" i="7"/>
  <c r="G157" i="7"/>
  <c r="G168" i="7"/>
  <c r="J31" i="3"/>
  <c r="F31" i="3" s="1"/>
  <c r="H70" i="3" l="1"/>
  <c r="J70" i="3"/>
  <c r="I70" i="3" s="1"/>
  <c r="H116" i="3"/>
  <c r="J116" i="3"/>
  <c r="I116" i="3" s="1"/>
  <c r="Q54" i="5"/>
  <c r="Q55" i="5" s="1"/>
  <c r="Q57" i="5" s="1"/>
  <c r="Q63" i="5" s="1"/>
  <c r="Q65" i="5" s="1"/>
  <c r="Q83" i="5" s="1"/>
  <c r="G222" i="7"/>
  <c r="G198" i="7"/>
  <c r="G220" i="7"/>
  <c r="G196" i="7"/>
  <c r="G218" i="7"/>
  <c r="G194" i="7"/>
  <c r="G213" i="7"/>
  <c r="G189" i="7"/>
  <c r="G211" i="7"/>
  <c r="G187" i="7"/>
  <c r="G209" i="7"/>
  <c r="G185" i="7"/>
  <c r="A79" i="3" a="1"/>
  <c r="A79" i="3" s="1"/>
  <c r="G79" i="3" s="1"/>
  <c r="F79" i="3" s="1"/>
  <c r="P36" i="5"/>
  <c r="G253" i="7"/>
  <c r="G265" i="7"/>
  <c r="G260" i="7"/>
  <c r="G256" i="7"/>
  <c r="G254" i="7"/>
  <c r="G257" i="7"/>
  <c r="G274" i="7"/>
  <c r="G264" i="7"/>
  <c r="G273" i="7"/>
  <c r="G269" i="7"/>
  <c r="G258" i="7"/>
  <c r="G255" i="7"/>
  <c r="G266" i="7"/>
  <c r="G262" i="7"/>
  <c r="G115" i="3"/>
  <c r="G271" i="7"/>
  <c r="G267" i="7"/>
  <c r="G277" i="7"/>
  <c r="G279" i="7" s="1"/>
  <c r="G149" i="7"/>
  <c r="G126" i="7" s="1"/>
  <c r="F156" i="7" s="1"/>
  <c r="H111" i="3"/>
  <c r="G112" i="3"/>
  <c r="F112" i="3" s="1"/>
  <c r="I138" i="3"/>
  <c r="I139" i="3" s="1"/>
  <c r="F57" i="3"/>
  <c r="C1047" i="2" s="1"/>
  <c r="F48" i="3"/>
  <c r="O37" i="5"/>
  <c r="F64" i="3"/>
  <c r="F65" i="3" s="1"/>
  <c r="D65" i="51" s="1"/>
  <c r="P37" i="5"/>
  <c r="I130" i="3"/>
  <c r="I131" i="3" s="1"/>
  <c r="G138" i="3"/>
  <c r="G139" i="3" s="1"/>
  <c r="G130" i="3"/>
  <c r="G131" i="3" s="1"/>
  <c r="J57" i="3" l="1"/>
  <c r="I57" i="3" s="1"/>
  <c r="G201" i="7"/>
  <c r="G178" i="7" s="1"/>
  <c r="F208" i="7" s="1"/>
  <c r="G98" i="7"/>
  <c r="G75" i="7" s="1"/>
  <c r="F105" i="7" s="1"/>
  <c r="F159" i="7"/>
  <c r="F168" i="7"/>
  <c r="F158" i="7"/>
  <c r="F170" i="7"/>
  <c r="F165" i="7"/>
  <c r="F153" i="7"/>
  <c r="F164" i="7"/>
  <c r="F171" i="7"/>
  <c r="F161" i="7"/>
  <c r="F155" i="7"/>
  <c r="F166" i="7"/>
  <c r="F163" i="7"/>
  <c r="F157" i="7"/>
  <c r="F167" i="7"/>
  <c r="F160" i="7"/>
  <c r="Q106" i="5"/>
  <c r="Q107" i="5" s="1"/>
  <c r="H106" i="5"/>
  <c r="H107" i="5" s="1"/>
  <c r="H28" i="5"/>
  <c r="H29" i="5" s="1"/>
  <c r="H33" i="5" s="1"/>
  <c r="I106" i="5"/>
  <c r="I107" i="5" s="1"/>
  <c r="P96" i="5"/>
  <c r="P97" i="5" s="1"/>
  <c r="O106" i="5"/>
  <c r="O107" i="5" s="1"/>
  <c r="Q28" i="5"/>
  <c r="Q29" i="5" s="1"/>
  <c r="N106" i="5"/>
  <c r="N107" i="5" s="1"/>
  <c r="P28" i="5"/>
  <c r="P29" i="5" s="1"/>
  <c r="P106" i="5"/>
  <c r="P107" i="5" s="1"/>
  <c r="Q96" i="5"/>
  <c r="Q97" i="5" s="1"/>
  <c r="I28" i="5"/>
  <c r="I29" i="5" s="1"/>
  <c r="O96" i="5"/>
  <c r="O97" i="5" s="1"/>
  <c r="N96" i="5"/>
  <c r="N97" i="5" s="1"/>
  <c r="O28" i="5"/>
  <c r="O29" i="5" s="1"/>
  <c r="I96" i="5"/>
  <c r="I97" i="5" s="1"/>
  <c r="H96" i="5"/>
  <c r="H97" i="5" s="1"/>
  <c r="N28" i="5"/>
  <c r="N29" i="5" s="1"/>
  <c r="G252" i="7"/>
  <c r="G229" i="7" s="1"/>
  <c r="F259" i="7" s="1"/>
  <c r="H57" i="3"/>
  <c r="G58" i="3"/>
  <c r="F58" i="3" s="1"/>
  <c r="E77" i="3"/>
  <c r="F74" i="3"/>
  <c r="D77" i="3"/>
  <c r="D73" i="3" s="1"/>
  <c r="J131" i="3"/>
  <c r="J130" i="3" s="1"/>
  <c r="F73" i="3"/>
  <c r="J140" i="3"/>
  <c r="J141" i="3"/>
  <c r="J139" i="3"/>
  <c r="J138" i="3" s="1"/>
  <c r="D65" i="3"/>
  <c r="D65" i="29"/>
  <c r="D65" i="28"/>
  <c r="D65" i="25"/>
  <c r="D65" i="27"/>
  <c r="D65" i="31"/>
  <c r="D65" i="30"/>
  <c r="D65" i="26"/>
  <c r="F151" i="7"/>
  <c r="K130" i="3"/>
  <c r="K131" i="3" s="1"/>
  <c r="F81" i="3"/>
  <c r="C1053" i="2" s="1"/>
  <c r="H139" i="3"/>
  <c r="H138" i="3" s="1"/>
  <c r="H141" i="3"/>
  <c r="H140" i="3"/>
  <c r="F119" i="3"/>
  <c r="E123" i="3"/>
  <c r="F120" i="3"/>
  <c r="H131" i="3"/>
  <c r="H130" i="3" s="1"/>
  <c r="D123" i="3"/>
  <c r="D119" i="3" s="1"/>
  <c r="F169" i="7"/>
  <c r="F162" i="7"/>
  <c r="F152" i="7"/>
  <c r="F150" i="7"/>
  <c r="F154" i="7"/>
  <c r="O33" i="5" l="1"/>
  <c r="O30" i="5"/>
  <c r="N33" i="5"/>
  <c r="N30" i="5"/>
  <c r="Q33" i="5"/>
  <c r="Q30" i="5"/>
  <c r="I33" i="5"/>
  <c r="I30" i="5"/>
  <c r="P33" i="5"/>
  <c r="P30" i="5"/>
  <c r="F76" i="3"/>
  <c r="F122" i="3"/>
  <c r="F222" i="7"/>
  <c r="F214" i="7"/>
  <c r="F219" i="7"/>
  <c r="F202" i="7"/>
  <c r="F209" i="7"/>
  <c r="F212" i="7"/>
  <c r="F213" i="7"/>
  <c r="F210" i="7"/>
  <c r="F205" i="7"/>
  <c r="F217" i="7"/>
  <c r="F216" i="7"/>
  <c r="F220" i="7"/>
  <c r="F211" i="7"/>
  <c r="F207" i="7"/>
  <c r="F215" i="7"/>
  <c r="F204" i="7"/>
  <c r="F223" i="7"/>
  <c r="F218" i="7"/>
  <c r="F203" i="7"/>
  <c r="F221" i="7"/>
  <c r="F206" i="7"/>
  <c r="F116" i="7"/>
  <c r="F99" i="7"/>
  <c r="F110" i="7"/>
  <c r="F102" i="7"/>
  <c r="F109" i="7"/>
  <c r="F111" i="7"/>
  <c r="F107" i="7"/>
  <c r="F108" i="7"/>
  <c r="F100" i="7"/>
  <c r="F113" i="7"/>
  <c r="F117" i="7"/>
  <c r="F112" i="7"/>
  <c r="F104" i="7"/>
  <c r="F119" i="7"/>
  <c r="F115" i="7"/>
  <c r="F106" i="7"/>
  <c r="F114" i="7"/>
  <c r="F120" i="7"/>
  <c r="F118" i="7"/>
  <c r="F103" i="7"/>
  <c r="F101" i="7"/>
  <c r="F257" i="7"/>
  <c r="F270" i="7"/>
  <c r="F271" i="7"/>
  <c r="F269" i="7"/>
  <c r="F272" i="7"/>
  <c r="F263" i="7"/>
  <c r="F254" i="7"/>
  <c r="F255" i="7"/>
  <c r="F267" i="7"/>
  <c r="F264" i="7"/>
  <c r="F261" i="7"/>
  <c r="F273" i="7"/>
  <c r="F258" i="7"/>
  <c r="D74" i="3"/>
  <c r="F274" i="7"/>
  <c r="F260" i="7"/>
  <c r="F266" i="7"/>
  <c r="D120" i="3"/>
  <c r="F262" i="7"/>
  <c r="Q119" i="5"/>
  <c r="Q109" i="5"/>
  <c r="H119" i="5"/>
  <c r="H109" i="5"/>
  <c r="F256" i="7"/>
  <c r="O109" i="5"/>
  <c r="O119" i="5"/>
  <c r="N109" i="5"/>
  <c r="N119" i="5"/>
  <c r="F253" i="7"/>
  <c r="F72" i="3"/>
  <c r="F118" i="3"/>
  <c r="P109" i="5"/>
  <c r="P119" i="5"/>
  <c r="G173" i="7"/>
  <c r="G175" i="7"/>
  <c r="D90" i="3"/>
  <c r="D87" i="3" s="1"/>
  <c r="E90" i="3"/>
  <c r="F87" i="3"/>
  <c r="L131" i="3"/>
  <c r="L130" i="3" s="1"/>
  <c r="F88" i="3"/>
  <c r="I109" i="5"/>
  <c r="I119" i="5"/>
  <c r="F268" i="7"/>
  <c r="F265" i="7"/>
  <c r="F173" i="7" l="1"/>
  <c r="F175" i="7"/>
  <c r="G227" i="7"/>
  <c r="G225" i="7"/>
  <c r="G124" i="7"/>
  <c r="G122" i="7"/>
  <c r="F86" i="3"/>
  <c r="D88" i="3"/>
  <c r="G278" i="7"/>
  <c r="G276" i="7"/>
  <c r="F124" i="7" l="1"/>
  <c r="F122" i="7"/>
  <c r="F225" i="7"/>
  <c r="F227" i="7"/>
  <c r="F278" i="7"/>
  <c r="F276" i="7"/>
  <c r="F114" i="3"/>
  <c r="H114" i="3" l="1"/>
  <c r="J114" i="3"/>
  <c r="I114" i="3" s="1"/>
  <c r="F67" i="3"/>
  <c r="F68" i="3"/>
  <c r="F115" i="3"/>
  <c r="H67" i="3" l="1"/>
  <c r="J67" i="3"/>
  <c r="I67" i="3" s="1"/>
</calcChain>
</file>

<file path=xl/sharedStrings.xml><?xml version="1.0" encoding="utf-8"?>
<sst xmlns="http://schemas.openxmlformats.org/spreadsheetml/2006/main" count="11080" uniqueCount="6394">
  <si>
    <t>InvFile</t>
  </si>
  <si>
    <t>BasicValues</t>
  </si>
  <si>
    <t>B A S I C  V A L U E S</t>
  </si>
  <si>
    <t>year</t>
  </si>
  <si>
    <t xml:space="preserve">  Project description</t>
  </si>
  <si>
    <t>month</t>
  </si>
  <si>
    <t xml:space="preserve">  Calculation phase</t>
  </si>
  <si>
    <t>Total</t>
  </si>
  <si>
    <t xml:space="preserve">  Description</t>
  </si>
  <si>
    <t>years</t>
  </si>
  <si>
    <t xml:space="preserve">  Calculation term, years</t>
  </si>
  <si>
    <t>months</t>
  </si>
  <si>
    <t xml:space="preserve">  + months</t>
  </si>
  <si>
    <t xml:space="preserve">  Interval length, months</t>
  </si>
  <si>
    <t xml:space="preserve">  Number of intervals</t>
  </si>
  <si>
    <t>(MM/YYYY)</t>
  </si>
  <si>
    <t xml:space="preserve">  Calculation term begins</t>
  </si>
  <si>
    <t xml:space="preserve">  Calculation point</t>
  </si>
  <si>
    <t xml:space="preserve">  Calculation term ends</t>
  </si>
  <si>
    <t>(in the end of the period)</t>
  </si>
  <si>
    <t xml:space="preserve">  Figures (1/1000/1000000)</t>
  </si>
  <si>
    <t xml:space="preserve">  Currency</t>
  </si>
  <si>
    <t xml:space="preserve">  Discount rate (per annum)</t>
  </si>
  <si>
    <t>%  (required rate of return)</t>
  </si>
  <si>
    <t>Per month</t>
  </si>
  <si>
    <t xml:space="preserve">  Per interval</t>
  </si>
  <si>
    <t xml:space="preserve">  Cost of equity (per annum)</t>
  </si>
  <si>
    <t>%</t>
  </si>
  <si>
    <t xml:space="preserve">  Income tax %</t>
  </si>
  <si>
    <t>ContactInfo</t>
  </si>
  <si>
    <t>C O N T A C T   I N F O R M A T I O N</t>
  </si>
  <si>
    <t xml:space="preserve">  Contact person</t>
  </si>
  <si>
    <t xml:space="preserve">  Contact info</t>
  </si>
  <si>
    <t xml:space="preserve">  Date</t>
  </si>
  <si>
    <t xml:space="preserve">  Comments</t>
  </si>
  <si>
    <t xml:space="preserve">  Calculation file</t>
  </si>
  <si>
    <t>Invfile</t>
  </si>
  <si>
    <t>Month</t>
  </si>
  <si>
    <t>Operators</t>
  </si>
  <si>
    <t>-</t>
  </si>
  <si>
    <t>P00VUNC</t>
  </si>
  <si>
    <t>Quarter</t>
  </si>
  <si>
    <t>+</t>
  </si>
  <si>
    <t>Year</t>
  </si>
  <si>
    <t>Tax-%</t>
  </si>
  <si>
    <t xml:space="preserve"> </t>
  </si>
  <si>
    <t>*</t>
  </si>
  <si>
    <t>Period</t>
  </si>
  <si>
    <t>/</t>
  </si>
  <si>
    <t>ID: Month, Quarter &amp; Fin. year (MMMMMMYYYY)</t>
  </si>
  <si>
    <t>ID</t>
  </si>
  <si>
    <t>Startup/Operating (1/2)</t>
  </si>
  <si>
    <t>InvestTable</t>
  </si>
  <si>
    <t>x0005</t>
  </si>
  <si>
    <t>P98VUNC</t>
  </si>
  <si>
    <t>x0006</t>
  </si>
  <si>
    <t>P01VUEC</t>
  </si>
  <si>
    <t>Connection fees</t>
  </si>
  <si>
    <t>x0010</t>
  </si>
  <si>
    <t>Months per interval</t>
  </si>
  <si>
    <t>x0011</t>
  </si>
  <si>
    <t>P02VUEC</t>
  </si>
  <si>
    <t>Connection fees, increase (+) / decrease (-)</t>
  </si>
  <si>
    <t>C0495</t>
  </si>
  <si>
    <t>INVESTMENTS (-) / REALIZATIONS (+)</t>
  </si>
  <si>
    <t>x0020</t>
  </si>
  <si>
    <t>P99VUNC</t>
  </si>
  <si>
    <t>Imputed depreciation</t>
  </si>
  <si>
    <t>x0021</t>
  </si>
  <si>
    <t>Depr.-%</t>
  </si>
  <si>
    <t>x0022</t>
  </si>
  <si>
    <t>P02VUNC</t>
  </si>
  <si>
    <t>C8510</t>
  </si>
  <si>
    <t>P02HUNC</t>
  </si>
  <si>
    <t>010701000</t>
  </si>
  <si>
    <t>C0500</t>
  </si>
  <si>
    <t>010702000</t>
  </si>
  <si>
    <t>(straight line)</t>
  </si>
  <si>
    <t>C0520</t>
  </si>
  <si>
    <t>010703000</t>
  </si>
  <si>
    <t>Book value</t>
  </si>
  <si>
    <t>C0540</t>
  </si>
  <si>
    <t>P04VUNC</t>
  </si>
  <si>
    <t>010704000</t>
  </si>
  <si>
    <t>C0560</t>
  </si>
  <si>
    <t>010705000</t>
  </si>
  <si>
    <t>C0580</t>
  </si>
  <si>
    <t>010706000</t>
  </si>
  <si>
    <t>C9101</t>
  </si>
  <si>
    <t>010707000</t>
  </si>
  <si>
    <t>Imputed book value</t>
  </si>
  <si>
    <t>C9102</t>
  </si>
  <si>
    <t>010708000</t>
  </si>
  <si>
    <t>C9103</t>
  </si>
  <si>
    <t>010709000</t>
  </si>
  <si>
    <t>C9104</t>
  </si>
  <si>
    <t>C8520</t>
  </si>
  <si>
    <t>C0600</t>
  </si>
  <si>
    <t>C0620</t>
  </si>
  <si>
    <t>C0640</t>
  </si>
  <si>
    <t>C0660</t>
  </si>
  <si>
    <t>C0680</t>
  </si>
  <si>
    <t>C9106</t>
  </si>
  <si>
    <t>C9107</t>
  </si>
  <si>
    <t>C9108</t>
  </si>
  <si>
    <t>C9109</t>
  </si>
  <si>
    <t>C8530</t>
  </si>
  <si>
    <t>030701000</t>
  </si>
  <si>
    <t>C0700</t>
  </si>
  <si>
    <t>030702000</t>
  </si>
  <si>
    <t>C0720</t>
  </si>
  <si>
    <t>030703000</t>
  </si>
  <si>
    <t>C0740</t>
  </si>
  <si>
    <t>030704000</t>
  </si>
  <si>
    <t>C0760</t>
  </si>
  <si>
    <t>030705000</t>
  </si>
  <si>
    <t>C0780</t>
  </si>
  <si>
    <t>030706000</t>
  </si>
  <si>
    <t>C9111</t>
  </si>
  <si>
    <t>030707000</t>
  </si>
  <si>
    <t>C9112</t>
  </si>
  <si>
    <t>030708000</t>
  </si>
  <si>
    <t>C9113</t>
  </si>
  <si>
    <t>030709000</t>
  </si>
  <si>
    <t>C9114</t>
  </si>
  <si>
    <t>C8540</t>
  </si>
  <si>
    <t>040701000</t>
  </si>
  <si>
    <t>C0800</t>
  </si>
  <si>
    <t>040702000</t>
  </si>
  <si>
    <t>C0820</t>
  </si>
  <si>
    <t>040703000</t>
  </si>
  <si>
    <t>C0840</t>
  </si>
  <si>
    <t>040704000</t>
  </si>
  <si>
    <t>C0860</t>
  </si>
  <si>
    <t>040705000</t>
  </si>
  <si>
    <t>C0880</t>
  </si>
  <si>
    <t>040706000</t>
  </si>
  <si>
    <t>C9116</t>
  </si>
  <si>
    <t>040707000</t>
  </si>
  <si>
    <t>C9117</t>
  </si>
  <si>
    <t>040708000</t>
  </si>
  <si>
    <t>C9118</t>
  </si>
  <si>
    <t>040709000</t>
  </si>
  <si>
    <t>C9119</t>
  </si>
  <si>
    <t>C8550</t>
  </si>
  <si>
    <t>P03HUNC</t>
  </si>
  <si>
    <t>050701000</t>
  </si>
  <si>
    <t>C0900</t>
  </si>
  <si>
    <t>P03VUNC</t>
  </si>
  <si>
    <t>050702000</t>
  </si>
  <si>
    <t>C0920</t>
  </si>
  <si>
    <t>050703000</t>
  </si>
  <si>
    <t>C0940</t>
  </si>
  <si>
    <t>050704000</t>
  </si>
  <si>
    <t>C0960</t>
  </si>
  <si>
    <t>050705000</t>
  </si>
  <si>
    <t>C0980</t>
  </si>
  <si>
    <t>050706000</t>
  </si>
  <si>
    <t>C9121</t>
  </si>
  <si>
    <t>050707000</t>
  </si>
  <si>
    <t>C9122</t>
  </si>
  <si>
    <t>050708000</t>
  </si>
  <si>
    <t>C9123</t>
  </si>
  <si>
    <t>050709000</t>
  </si>
  <si>
    <t>C9124</t>
  </si>
  <si>
    <t>C8560</t>
  </si>
  <si>
    <t>060701000</t>
  </si>
  <si>
    <t>C1000</t>
  </si>
  <si>
    <t>060702000</t>
  </si>
  <si>
    <t>C1010</t>
  </si>
  <si>
    <t>060703000</t>
  </si>
  <si>
    <t>C1020</t>
  </si>
  <si>
    <t>060704000</t>
  </si>
  <si>
    <t>C1025</t>
  </si>
  <si>
    <t>060705000</t>
  </si>
  <si>
    <t>C1026</t>
  </si>
  <si>
    <t>060706000</t>
  </si>
  <si>
    <t>C9126</t>
  </si>
  <si>
    <t>060707000</t>
  </si>
  <si>
    <t>C9127</t>
  </si>
  <si>
    <t>060708000</t>
  </si>
  <si>
    <t>C9128</t>
  </si>
  <si>
    <t>060709000</t>
  </si>
  <si>
    <t>C9129</t>
  </si>
  <si>
    <t>C8570</t>
  </si>
  <si>
    <t>070701000</t>
  </si>
  <si>
    <t>C1030</t>
  </si>
  <si>
    <t>070702000</t>
  </si>
  <si>
    <t>C1040</t>
  </si>
  <si>
    <t>070703000</t>
  </si>
  <si>
    <t>C1050</t>
  </si>
  <si>
    <t>070704000</t>
  </si>
  <si>
    <t>C1055</t>
  </si>
  <si>
    <t>070705000</t>
  </si>
  <si>
    <t>C1056</t>
  </si>
  <si>
    <t>070706000</t>
  </si>
  <si>
    <t>C9131</t>
  </si>
  <si>
    <t>070707000</t>
  </si>
  <si>
    <t>C9132</t>
  </si>
  <si>
    <t>070708000</t>
  </si>
  <si>
    <t>C9133</t>
  </si>
  <si>
    <t>070709000</t>
  </si>
  <si>
    <t>C9134</t>
  </si>
  <si>
    <t>C8580</t>
  </si>
  <si>
    <t>080701000</t>
  </si>
  <si>
    <t>C1060</t>
  </si>
  <si>
    <t>080702000</t>
  </si>
  <si>
    <t>C1070</t>
  </si>
  <si>
    <t>080703000</t>
  </si>
  <si>
    <t>C1080</t>
  </si>
  <si>
    <t>080704000</t>
  </si>
  <si>
    <t>C1085</t>
  </si>
  <si>
    <t>080705000</t>
  </si>
  <si>
    <t>C1086</t>
  </si>
  <si>
    <t>080706000</t>
  </si>
  <si>
    <t>C9136</t>
  </si>
  <si>
    <t>080707000</t>
  </si>
  <si>
    <t>C9137</t>
  </si>
  <si>
    <t>080708000</t>
  </si>
  <si>
    <t>C9138</t>
  </si>
  <si>
    <t>080709000</t>
  </si>
  <si>
    <t>C9139</t>
  </si>
  <si>
    <t>C8590</t>
  </si>
  <si>
    <t>090701000</t>
  </si>
  <si>
    <t>C1090</t>
  </si>
  <si>
    <t>090702000</t>
  </si>
  <si>
    <t>C1100</t>
  </si>
  <si>
    <t>090703000</t>
  </si>
  <si>
    <t>C1110</t>
  </si>
  <si>
    <t>P04HUNC</t>
  </si>
  <si>
    <t>090704000</t>
  </si>
  <si>
    <t>C1115</t>
  </si>
  <si>
    <t>P00HUNC</t>
  </si>
  <si>
    <t>090705000</t>
  </si>
  <si>
    <t>C1116</t>
  </si>
  <si>
    <t>090706000</t>
  </si>
  <si>
    <t>C9141</t>
  </si>
  <si>
    <t>090707000</t>
  </si>
  <si>
    <t>C9142</t>
  </si>
  <si>
    <t>090708000</t>
  </si>
  <si>
    <t>C9143</t>
  </si>
  <si>
    <t>090709000</t>
  </si>
  <si>
    <t>C9144</t>
  </si>
  <si>
    <t>C8600</t>
  </si>
  <si>
    <t>100701000</t>
  </si>
  <si>
    <t>C1120</t>
  </si>
  <si>
    <t>100702000</t>
  </si>
  <si>
    <t>C1130</t>
  </si>
  <si>
    <t>100703000</t>
  </si>
  <si>
    <t>C1140</t>
  </si>
  <si>
    <t>100704000</t>
  </si>
  <si>
    <t>C1145</t>
  </si>
  <si>
    <t>100705000</t>
  </si>
  <si>
    <t>C1146</t>
  </si>
  <si>
    <t>100706000</t>
  </si>
  <si>
    <t>C9146</t>
  </si>
  <si>
    <t>100707000</t>
  </si>
  <si>
    <t>C9147</t>
  </si>
  <si>
    <t>100708000</t>
  </si>
  <si>
    <t>C9148</t>
  </si>
  <si>
    <t>100709000</t>
  </si>
  <si>
    <t>C9149</t>
  </si>
  <si>
    <t>C8610</t>
  </si>
  <si>
    <t>110701000</t>
  </si>
  <si>
    <t>C114A</t>
  </si>
  <si>
    <t>110702000</t>
  </si>
  <si>
    <t>C114B</t>
  </si>
  <si>
    <t>110703000</t>
  </si>
  <si>
    <t>C114C</t>
  </si>
  <si>
    <t>110704000</t>
  </si>
  <si>
    <t>C114D</t>
  </si>
  <si>
    <t>110705000</t>
  </si>
  <si>
    <t>C114E</t>
  </si>
  <si>
    <t>110706000</t>
  </si>
  <si>
    <t>C9151</t>
  </si>
  <si>
    <t>110707000</t>
  </si>
  <si>
    <t>C9152</t>
  </si>
  <si>
    <t>110708000</t>
  </si>
  <si>
    <t>C9153</t>
  </si>
  <si>
    <t>110709000</t>
  </si>
  <si>
    <t>C9154</t>
  </si>
  <si>
    <t>C8620</t>
  </si>
  <si>
    <t>120701000</t>
  </si>
  <si>
    <t>C114F</t>
  </si>
  <si>
    <t>120702000</t>
  </si>
  <si>
    <t>C114G</t>
  </si>
  <si>
    <t>120703000</t>
  </si>
  <si>
    <t>C114H</t>
  </si>
  <si>
    <t>120704000</t>
  </si>
  <si>
    <t>C114I</t>
  </si>
  <si>
    <t>120705000</t>
  </si>
  <si>
    <t>C114J</t>
  </si>
  <si>
    <t>120706000</t>
  </si>
  <si>
    <t>C9156</t>
  </si>
  <si>
    <t>120707000</t>
  </si>
  <si>
    <t>C9157</t>
  </si>
  <si>
    <t>120708000</t>
  </si>
  <si>
    <t>C9158</t>
  </si>
  <si>
    <t>120709000</t>
  </si>
  <si>
    <t>C9159</t>
  </si>
  <si>
    <t>C8630</t>
  </si>
  <si>
    <t>130701000</t>
  </si>
  <si>
    <t>C114K</t>
  </si>
  <si>
    <t>130702000</t>
  </si>
  <si>
    <t>C114L</t>
  </si>
  <si>
    <t>130703000</t>
  </si>
  <si>
    <t>C114M</t>
  </si>
  <si>
    <t>130704000</t>
  </si>
  <si>
    <t>C114N</t>
  </si>
  <si>
    <t>130705000</t>
  </si>
  <si>
    <t>C114O</t>
  </si>
  <si>
    <t>130706000</t>
  </si>
  <si>
    <t>C9161</t>
  </si>
  <si>
    <t>130707000</t>
  </si>
  <si>
    <t>C9162</t>
  </si>
  <si>
    <t>130708000</t>
  </si>
  <si>
    <t>C9163</t>
  </si>
  <si>
    <t>130709000</t>
  </si>
  <si>
    <t>C9164</t>
  </si>
  <si>
    <t>C8640</t>
  </si>
  <si>
    <t>140701000</t>
  </si>
  <si>
    <t>C114P</t>
  </si>
  <si>
    <t>140702000</t>
  </si>
  <si>
    <t>C114Q</t>
  </si>
  <si>
    <t>140703000</t>
  </si>
  <si>
    <t>C114R</t>
  </si>
  <si>
    <t>140704000</t>
  </si>
  <si>
    <t>C114S</t>
  </si>
  <si>
    <t>140705000</t>
  </si>
  <si>
    <t>C114T</t>
  </si>
  <si>
    <t>140706000</t>
  </si>
  <si>
    <t>C9166</t>
  </si>
  <si>
    <t>140707000</t>
  </si>
  <si>
    <t>C9167</t>
  </si>
  <si>
    <t>140708000</t>
  </si>
  <si>
    <t>C9168</t>
  </si>
  <si>
    <t>140709000</t>
  </si>
  <si>
    <t>C9169</t>
  </si>
  <si>
    <t>C8650</t>
  </si>
  <si>
    <t>150701000</t>
  </si>
  <si>
    <t>C114U</t>
  </si>
  <si>
    <t>150702000</t>
  </si>
  <si>
    <t>C114V</t>
  </si>
  <si>
    <t>150703000</t>
  </si>
  <si>
    <t>C114W</t>
  </si>
  <si>
    <t>150704000</t>
  </si>
  <si>
    <t>C114X</t>
  </si>
  <si>
    <t>150705000</t>
  </si>
  <si>
    <t>C114Y</t>
  </si>
  <si>
    <t>150706000</t>
  </si>
  <si>
    <t>C9171</t>
  </si>
  <si>
    <t>150707000</t>
  </si>
  <si>
    <t>C9172</t>
  </si>
  <si>
    <t>150708000</t>
  </si>
  <si>
    <t>C9173</t>
  </si>
  <si>
    <t>150709000</t>
  </si>
  <si>
    <t>C9174</t>
  </si>
  <si>
    <t>C8660</t>
  </si>
  <si>
    <t>160701000</t>
  </si>
  <si>
    <t>C115A</t>
  </si>
  <si>
    <t>160702000</t>
  </si>
  <si>
    <t>C115B</t>
  </si>
  <si>
    <t>160703000</t>
  </si>
  <si>
    <t>C115C</t>
  </si>
  <si>
    <t>160704000</t>
  </si>
  <si>
    <t>C115D</t>
  </si>
  <si>
    <t>160705000</t>
  </si>
  <si>
    <t>C115E</t>
  </si>
  <si>
    <t>160706000</t>
  </si>
  <si>
    <t>C9176</t>
  </si>
  <si>
    <t>160707000</t>
  </si>
  <si>
    <t>C9177</t>
  </si>
  <si>
    <t>160708000</t>
  </si>
  <si>
    <t>C9178</t>
  </si>
  <si>
    <t>160709000</t>
  </si>
  <si>
    <t>C9179</t>
  </si>
  <si>
    <t>C8670</t>
  </si>
  <si>
    <t>170701000</t>
  </si>
  <si>
    <t>C116A</t>
  </si>
  <si>
    <t>170702000</t>
  </si>
  <si>
    <t>C116B</t>
  </si>
  <si>
    <t>170703000</t>
  </si>
  <si>
    <t>C116C</t>
  </si>
  <si>
    <t>170704000</t>
  </si>
  <si>
    <t>C116D</t>
  </si>
  <si>
    <t>170705000</t>
  </si>
  <si>
    <t>C116E</t>
  </si>
  <si>
    <t>170706000</t>
  </si>
  <si>
    <t>C9181</t>
  </si>
  <si>
    <t>170707000</t>
  </si>
  <si>
    <t>C9182</t>
  </si>
  <si>
    <t>170708000</t>
  </si>
  <si>
    <t>C9183</t>
  </si>
  <si>
    <t>170709000</t>
  </si>
  <si>
    <t>C9184</t>
  </si>
  <si>
    <t>C8680</t>
  </si>
  <si>
    <t>180701000</t>
  </si>
  <si>
    <t>C117A</t>
  </si>
  <si>
    <t>180702000</t>
  </si>
  <si>
    <t>C117B</t>
  </si>
  <si>
    <t>180703000</t>
  </si>
  <si>
    <t>C117C</t>
  </si>
  <si>
    <t>180704000</t>
  </si>
  <si>
    <t>C117D</t>
  </si>
  <si>
    <t>180705000</t>
  </si>
  <si>
    <t>C117E</t>
  </si>
  <si>
    <t>180706000</t>
  </si>
  <si>
    <t>C9186</t>
  </si>
  <si>
    <t>180707000</t>
  </si>
  <si>
    <t>C9187</t>
  </si>
  <si>
    <t>180708000</t>
  </si>
  <si>
    <t>C9188</t>
  </si>
  <si>
    <t>180709000</t>
  </si>
  <si>
    <t>C9189</t>
  </si>
  <si>
    <t>C8690</t>
  </si>
  <si>
    <t>190701000</t>
  </si>
  <si>
    <t>C118A</t>
  </si>
  <si>
    <t>190702000</t>
  </si>
  <si>
    <t>C118B</t>
  </si>
  <si>
    <t>190703000</t>
  </si>
  <si>
    <t>C118C</t>
  </si>
  <si>
    <t>190704000</t>
  </si>
  <si>
    <t>C118D</t>
  </si>
  <si>
    <t>190705000</t>
  </si>
  <si>
    <t>C118E</t>
  </si>
  <si>
    <t>190706000</t>
  </si>
  <si>
    <t>C9191</t>
  </si>
  <si>
    <t>190707000</t>
  </si>
  <si>
    <t>C9192</t>
  </si>
  <si>
    <t>190708000</t>
  </si>
  <si>
    <t>C9193</t>
  </si>
  <si>
    <t>190709000</t>
  </si>
  <si>
    <t>C9194</t>
  </si>
  <si>
    <t>C8700</t>
  </si>
  <si>
    <t>200701000</t>
  </si>
  <si>
    <t>C119A</t>
  </si>
  <si>
    <t>200702000</t>
  </si>
  <si>
    <t>C119B</t>
  </si>
  <si>
    <t>200703000</t>
  </si>
  <si>
    <t>C119C</t>
  </si>
  <si>
    <t>200704000</t>
  </si>
  <si>
    <t>C119D</t>
  </si>
  <si>
    <t>200705000</t>
  </si>
  <si>
    <t>C119E</t>
  </si>
  <si>
    <t>200706000</t>
  </si>
  <si>
    <t>C9196</t>
  </si>
  <si>
    <t>200707000</t>
  </si>
  <si>
    <t>C9197</t>
  </si>
  <si>
    <t>200708000</t>
  </si>
  <si>
    <t>C9198</t>
  </si>
  <si>
    <t>200709000</t>
  </si>
  <si>
    <t>C9199</t>
  </si>
  <si>
    <t>C8710</t>
  </si>
  <si>
    <t>210701000</t>
  </si>
  <si>
    <t>C120A</t>
  </si>
  <si>
    <t>210702000</t>
  </si>
  <si>
    <t>C120B</t>
  </si>
  <si>
    <t>210703000</t>
  </si>
  <si>
    <t>C120C</t>
  </si>
  <si>
    <t>210704000</t>
  </si>
  <si>
    <t>C120D</t>
  </si>
  <si>
    <t>210705000</t>
  </si>
  <si>
    <t>C120E</t>
  </si>
  <si>
    <t>210706000</t>
  </si>
  <si>
    <t>C9201</t>
  </si>
  <si>
    <t>210707000</t>
  </si>
  <si>
    <t>C9202</t>
  </si>
  <si>
    <t>210708000</t>
  </si>
  <si>
    <t>C9203</t>
  </si>
  <si>
    <t>210709000</t>
  </si>
  <si>
    <t>C9204</t>
  </si>
  <si>
    <t>C8720</t>
  </si>
  <si>
    <t>220701000</t>
  </si>
  <si>
    <t>C121A</t>
  </si>
  <si>
    <t>220702000</t>
  </si>
  <si>
    <t>C121B</t>
  </si>
  <si>
    <t>220703000</t>
  </si>
  <si>
    <t>C121C</t>
  </si>
  <si>
    <t>220704000</t>
  </si>
  <si>
    <t>C121D</t>
  </si>
  <si>
    <t>220705000</t>
  </si>
  <si>
    <t>C121E</t>
  </si>
  <si>
    <t>220706000</t>
  </si>
  <si>
    <t>C9206</t>
  </si>
  <si>
    <t>220707000</t>
  </si>
  <si>
    <t>C9207</t>
  </si>
  <si>
    <t>220708000</t>
  </si>
  <si>
    <t>C9208</t>
  </si>
  <si>
    <t>220709000</t>
  </si>
  <si>
    <t>C9209</t>
  </si>
  <si>
    <t>C8730</t>
  </si>
  <si>
    <t>230701000</t>
  </si>
  <si>
    <t>C122A</t>
  </si>
  <si>
    <t>230702000</t>
  </si>
  <si>
    <t>C122B</t>
  </si>
  <si>
    <t>230703000</t>
  </si>
  <si>
    <t>C122C</t>
  </si>
  <si>
    <t>230704000</t>
  </si>
  <si>
    <t>C122D</t>
  </si>
  <si>
    <t>230705000</t>
  </si>
  <si>
    <t>C122E</t>
  </si>
  <si>
    <t>230706000</t>
  </si>
  <si>
    <t>C9211</t>
  </si>
  <si>
    <t>230707000</t>
  </si>
  <si>
    <t>C9212</t>
  </si>
  <si>
    <t>230708000</t>
  </si>
  <si>
    <t>C9213</t>
  </si>
  <si>
    <t>230709000</t>
  </si>
  <si>
    <t>C9214</t>
  </si>
  <si>
    <t>C8740</t>
  </si>
  <si>
    <t>240701000</t>
  </si>
  <si>
    <t>C123A</t>
  </si>
  <si>
    <t>240702000</t>
  </si>
  <si>
    <t>C123B</t>
  </si>
  <si>
    <t>240703000</t>
  </si>
  <si>
    <t>C123C</t>
  </si>
  <si>
    <t>240704000</t>
  </si>
  <si>
    <t>C123D</t>
  </si>
  <si>
    <t>240705000</t>
  </si>
  <si>
    <t>C123E</t>
  </si>
  <si>
    <t>240706000</t>
  </si>
  <si>
    <t>C9216</t>
  </si>
  <si>
    <t>240707000</t>
  </si>
  <si>
    <t>C9217</t>
  </si>
  <si>
    <t>240708000</t>
  </si>
  <si>
    <t>C9218</t>
  </si>
  <si>
    <t>240709000</t>
  </si>
  <si>
    <t>C9219</t>
  </si>
  <si>
    <t>C8750</t>
  </si>
  <si>
    <t>250701000</t>
  </si>
  <si>
    <t>C124A</t>
  </si>
  <si>
    <t>250702000</t>
  </si>
  <si>
    <t>C124B</t>
  </si>
  <si>
    <t>250703000</t>
  </si>
  <si>
    <t>C124C</t>
  </si>
  <si>
    <t>250704000</t>
  </si>
  <si>
    <t>C124D</t>
  </si>
  <si>
    <t>250705000</t>
  </si>
  <si>
    <t>C124E</t>
  </si>
  <si>
    <t>250706000</t>
  </si>
  <si>
    <t>C9221</t>
  </si>
  <si>
    <t>250707000</t>
  </si>
  <si>
    <t>C9222</t>
  </si>
  <si>
    <t>250708000</t>
  </si>
  <si>
    <t>C9223</t>
  </si>
  <si>
    <t>250709000</t>
  </si>
  <si>
    <t>C9224</t>
  </si>
  <si>
    <t>C8760</t>
  </si>
  <si>
    <t>260701000</t>
  </si>
  <si>
    <t>C125A</t>
  </si>
  <si>
    <t>260702000</t>
  </si>
  <si>
    <t>C125B</t>
  </si>
  <si>
    <t>260703000</t>
  </si>
  <si>
    <t>C125C</t>
  </si>
  <si>
    <t>260704000</t>
  </si>
  <si>
    <t>C125D</t>
  </si>
  <si>
    <t>260705000</t>
  </si>
  <si>
    <t>C125E</t>
  </si>
  <si>
    <t>260706000</t>
  </si>
  <si>
    <t>C9226</t>
  </si>
  <si>
    <t>260707000</t>
  </si>
  <si>
    <t>C9227</t>
  </si>
  <si>
    <t>260708000</t>
  </si>
  <si>
    <t>C9228</t>
  </si>
  <si>
    <t>260709000</t>
  </si>
  <si>
    <t>C9229</t>
  </si>
  <si>
    <t>C8770</t>
  </si>
  <si>
    <t>270701000</t>
  </si>
  <si>
    <t>C126A</t>
  </si>
  <si>
    <t>270702000</t>
  </si>
  <si>
    <t>C126B</t>
  </si>
  <si>
    <t>270703000</t>
  </si>
  <si>
    <t>C126C</t>
  </si>
  <si>
    <t>270704000</t>
  </si>
  <si>
    <t>C126D</t>
  </si>
  <si>
    <t>270705000</t>
  </si>
  <si>
    <t>C126E</t>
  </si>
  <si>
    <t>270706000</t>
  </si>
  <si>
    <t>C9231</t>
  </si>
  <si>
    <t>270707000</t>
  </si>
  <si>
    <t>C9232</t>
  </si>
  <si>
    <t>270708000</t>
  </si>
  <si>
    <t>C9233</t>
  </si>
  <si>
    <t>270709000</t>
  </si>
  <si>
    <t>C9234</t>
  </si>
  <si>
    <t>C8780</t>
  </si>
  <si>
    <t>280701000</t>
  </si>
  <si>
    <t>C127A</t>
  </si>
  <si>
    <t>280702000</t>
  </si>
  <si>
    <t>C127B</t>
  </si>
  <si>
    <t>280703000</t>
  </si>
  <si>
    <t>C127C</t>
  </si>
  <si>
    <t>280704000</t>
  </si>
  <si>
    <t>C127D</t>
  </si>
  <si>
    <t>280705000</t>
  </si>
  <si>
    <t>C127E</t>
  </si>
  <si>
    <t>280706000</t>
  </si>
  <si>
    <t>C9236</t>
  </si>
  <si>
    <t>280707000</t>
  </si>
  <si>
    <t>C9237</t>
  </si>
  <si>
    <t>280708000</t>
  </si>
  <si>
    <t>C9238</t>
  </si>
  <si>
    <t>280709000</t>
  </si>
  <si>
    <t>C9239</t>
  </si>
  <si>
    <t>C8790</t>
  </si>
  <si>
    <t>290701000</t>
  </si>
  <si>
    <t>C128A</t>
  </si>
  <si>
    <t>290702000</t>
  </si>
  <si>
    <t>C128B</t>
  </si>
  <si>
    <t>290703000</t>
  </si>
  <si>
    <t>C128C</t>
  </si>
  <si>
    <t>290704000</t>
  </si>
  <si>
    <t>C128D</t>
  </si>
  <si>
    <t>290705000</t>
  </si>
  <si>
    <t>C128E</t>
  </si>
  <si>
    <t>290706000</t>
  </si>
  <si>
    <t>C9241</t>
  </si>
  <si>
    <t>290707000</t>
  </si>
  <si>
    <t>C9242</t>
  </si>
  <si>
    <t>290708000</t>
  </si>
  <si>
    <t>C9243</t>
  </si>
  <si>
    <t>290709000</t>
  </si>
  <si>
    <t>C9244</t>
  </si>
  <si>
    <t>C8800</t>
  </si>
  <si>
    <t>300701000</t>
  </si>
  <si>
    <t>C129A</t>
  </si>
  <si>
    <t>300702000</t>
  </si>
  <si>
    <t>C129B</t>
  </si>
  <si>
    <t>300703000</t>
  </si>
  <si>
    <t>C129C</t>
  </si>
  <si>
    <t>300704000</t>
  </si>
  <si>
    <t>C129D</t>
  </si>
  <si>
    <t>300705000</t>
  </si>
  <si>
    <t>C129E</t>
  </si>
  <si>
    <t>300706000</t>
  </si>
  <si>
    <t>C9246</t>
  </si>
  <si>
    <t>300707000</t>
  </si>
  <si>
    <t>C9247</t>
  </si>
  <si>
    <t>300708000</t>
  </si>
  <si>
    <t>C9248</t>
  </si>
  <si>
    <t>300709000</t>
  </si>
  <si>
    <t>C9249</t>
  </si>
  <si>
    <t>Investments</t>
  </si>
  <si>
    <t>C1150</t>
  </si>
  <si>
    <t>P01VUNC</t>
  </si>
  <si>
    <t>Realizations</t>
  </si>
  <si>
    <t>C1155</t>
  </si>
  <si>
    <t>Depreciation</t>
  </si>
  <si>
    <t>C1160</t>
  </si>
  <si>
    <t>Realization profit (+) / loss (-)</t>
  </si>
  <si>
    <t>C1170</t>
  </si>
  <si>
    <t>C1180</t>
  </si>
  <si>
    <t>Internal</t>
  </si>
  <si>
    <t>C1188</t>
  </si>
  <si>
    <t>C1189</t>
  </si>
  <si>
    <t>C1190</t>
  </si>
  <si>
    <t>C1191</t>
  </si>
  <si>
    <t>C1192</t>
  </si>
  <si>
    <t>G01VUNC</t>
  </si>
  <si>
    <t>Group investments</t>
  </si>
  <si>
    <t>C1330</t>
  </si>
  <si>
    <t>Group realizations</t>
  </si>
  <si>
    <t>C1335</t>
  </si>
  <si>
    <t>G02VUNC</t>
  </si>
  <si>
    <t>Group depreciation</t>
  </si>
  <si>
    <t>C1331</t>
  </si>
  <si>
    <t>Group realization profits (+) / losses (-)</t>
  </si>
  <si>
    <t>C1332</t>
  </si>
  <si>
    <t>Group book value</t>
  </si>
  <si>
    <t>C1333</t>
  </si>
  <si>
    <t>Goodwill calculation</t>
  </si>
  <si>
    <t>Method</t>
  </si>
  <si>
    <t>X0030</t>
  </si>
  <si>
    <t>Price</t>
  </si>
  <si>
    <t>C1350</t>
  </si>
  <si>
    <t>Share, %</t>
  </si>
  <si>
    <t>C1353</t>
  </si>
  <si>
    <t>Share capital</t>
  </si>
  <si>
    <t>C1355</t>
  </si>
  <si>
    <t>G03VUNC</t>
  </si>
  <si>
    <t>Share issue premium</t>
  </si>
  <si>
    <t>C1360</t>
  </si>
  <si>
    <t>Other restricted equity</t>
  </si>
  <si>
    <t>C1365</t>
  </si>
  <si>
    <t>Retained earnings</t>
  </si>
  <si>
    <t>C1370</t>
  </si>
  <si>
    <t>Profit (loss) for the period</t>
  </si>
  <si>
    <t>C1375</t>
  </si>
  <si>
    <t>Depreciation difference</t>
  </si>
  <si>
    <t>C1380</t>
  </si>
  <si>
    <t>Overvalue before tax liability</t>
  </si>
  <si>
    <t>C1401</t>
  </si>
  <si>
    <t>Deferred tax liability</t>
  </si>
  <si>
    <t>C1402</t>
  </si>
  <si>
    <t>Overvalue</t>
  </si>
  <si>
    <t>C1403</t>
  </si>
  <si>
    <t>OV00-00-00</t>
  </si>
  <si>
    <t>Allocated overvalue before tax</t>
  </si>
  <si>
    <t>C1404</t>
  </si>
  <si>
    <t>C1499</t>
  </si>
  <si>
    <t>G00VUNC</t>
  </si>
  <si>
    <t xml:space="preserve">Amount allocated on </t>
  </si>
  <si>
    <t>C1405</t>
  </si>
  <si>
    <t>C1406</t>
  </si>
  <si>
    <t>Balance</t>
  </si>
  <si>
    <t>C1407</t>
  </si>
  <si>
    <t>C1408</t>
  </si>
  <si>
    <t>G03HUNC</t>
  </si>
  <si>
    <t>C1409</t>
  </si>
  <si>
    <t>C1411</t>
  </si>
  <si>
    <t>C1412</t>
  </si>
  <si>
    <t>C1413</t>
  </si>
  <si>
    <t>C1414</t>
  </si>
  <si>
    <t>C1415</t>
  </si>
  <si>
    <t>C1416</t>
  </si>
  <si>
    <t>C1417</t>
  </si>
  <si>
    <t>C1418</t>
  </si>
  <si>
    <t>C1419</t>
  </si>
  <si>
    <t>C1421</t>
  </si>
  <si>
    <t>C1422</t>
  </si>
  <si>
    <t>C1423</t>
  </si>
  <si>
    <t>C1424</t>
  </si>
  <si>
    <t>C1425</t>
  </si>
  <si>
    <t>C1426</t>
  </si>
  <si>
    <t>C1427</t>
  </si>
  <si>
    <t>C1428</t>
  </si>
  <si>
    <t>C1429</t>
  </si>
  <si>
    <t>C1431</t>
  </si>
  <si>
    <t>C1432</t>
  </si>
  <si>
    <t>C1433</t>
  </si>
  <si>
    <t>C1434</t>
  </si>
  <si>
    <t>C1435</t>
  </si>
  <si>
    <t>C1436</t>
  </si>
  <si>
    <t>C1437</t>
  </si>
  <si>
    <t>C1438</t>
  </si>
  <si>
    <t>C1439</t>
  </si>
  <si>
    <t>C1441</t>
  </si>
  <si>
    <t>C1442</t>
  </si>
  <si>
    <t>C1443</t>
  </si>
  <si>
    <t>C1444</t>
  </si>
  <si>
    <t>TL00-00-00</t>
  </si>
  <si>
    <t>Allocated deferred tax liability</t>
  </si>
  <si>
    <t>C1445</t>
  </si>
  <si>
    <t>C1446</t>
  </si>
  <si>
    <t>C1447</t>
  </si>
  <si>
    <t>C1448</t>
  </si>
  <si>
    <t>C1449</t>
  </si>
  <si>
    <t>C1482</t>
  </si>
  <si>
    <t>C1451</t>
  </si>
  <si>
    <t>C1452</t>
  </si>
  <si>
    <t>C1453</t>
  </si>
  <si>
    <t>C1454</t>
  </si>
  <si>
    <t>C1455</t>
  </si>
  <si>
    <t>C1456</t>
  </si>
  <si>
    <t>C1457</t>
  </si>
  <si>
    <t>C1458</t>
  </si>
  <si>
    <t>C1459</t>
  </si>
  <si>
    <t>C4183</t>
  </si>
  <si>
    <t>C1461</t>
  </si>
  <si>
    <t>C1462</t>
  </si>
  <si>
    <t>C1463</t>
  </si>
  <si>
    <t>C1464</t>
  </si>
  <si>
    <t>C1465</t>
  </si>
  <si>
    <t>C1466</t>
  </si>
  <si>
    <t>C1467</t>
  </si>
  <si>
    <t>C1468</t>
  </si>
  <si>
    <t>C1469</t>
  </si>
  <si>
    <t>C1470</t>
  </si>
  <si>
    <t>C1471</t>
  </si>
  <si>
    <t>C1472</t>
  </si>
  <si>
    <t>C1473</t>
  </si>
  <si>
    <t>C1474</t>
  </si>
  <si>
    <t>C1475</t>
  </si>
  <si>
    <t>C1476</t>
  </si>
  <si>
    <t>C1477</t>
  </si>
  <si>
    <t>C1478</t>
  </si>
  <si>
    <t>C1479</t>
  </si>
  <si>
    <t>C1480</t>
  </si>
  <si>
    <t>C1481</t>
  </si>
  <si>
    <t>Total allocated overvalue</t>
  </si>
  <si>
    <t>C1489</t>
  </si>
  <si>
    <t>Goodwill</t>
  </si>
  <si>
    <t>C1390</t>
  </si>
  <si>
    <t>Cumulative goodwill balance</t>
  </si>
  <si>
    <t>x1391</t>
  </si>
  <si>
    <t>G00HUNC</t>
  </si>
  <si>
    <t>C1395</t>
  </si>
  <si>
    <t>C1399</t>
  </si>
  <si>
    <t>Equity correction</t>
  </si>
  <si>
    <t>C1400</t>
  </si>
  <si>
    <t>Acquisition financing</t>
  </si>
  <si>
    <t>C1496</t>
  </si>
  <si>
    <t>Equity</t>
  </si>
  <si>
    <t>C1495</t>
  </si>
  <si>
    <t>Interest bearing long-term debt</t>
  </si>
  <si>
    <t>C1410</t>
  </si>
  <si>
    <t>Amortizations</t>
  </si>
  <si>
    <t>C1420</t>
  </si>
  <si>
    <t>Financial expenses</t>
  </si>
  <si>
    <t>C1430</t>
  </si>
  <si>
    <t>C1440</t>
  </si>
  <si>
    <t>C1450</t>
  </si>
  <si>
    <t>C1460</t>
  </si>
  <si>
    <t>IncomeTable</t>
  </si>
  <si>
    <t>X0035</t>
  </si>
  <si>
    <t>X0036</t>
  </si>
  <si>
    <t>INCOME STATEMENT</t>
  </si>
  <si>
    <t>x0040</t>
  </si>
  <si>
    <t>x0041</t>
  </si>
  <si>
    <t>x0042</t>
  </si>
  <si>
    <t>Income specified:</t>
  </si>
  <si>
    <t>x0043</t>
  </si>
  <si>
    <t>C9000</t>
  </si>
  <si>
    <t>C9010</t>
  </si>
  <si>
    <t>C9020</t>
  </si>
  <si>
    <t>C9030</t>
  </si>
  <si>
    <t>C9040</t>
  </si>
  <si>
    <t>Income</t>
  </si>
  <si>
    <t>C2000</t>
  </si>
  <si>
    <t>C2010</t>
  </si>
  <si>
    <t>C2040</t>
  </si>
  <si>
    <t>Variable costs</t>
  </si>
  <si>
    <t>C2050</t>
  </si>
  <si>
    <t>Raw materials and consumables</t>
  </si>
  <si>
    <t>C2060</t>
  </si>
  <si>
    <t>External charges</t>
  </si>
  <si>
    <t>C2090</t>
  </si>
  <si>
    <t>Staff costs</t>
  </si>
  <si>
    <t>C2100</t>
  </si>
  <si>
    <t>Other variable costs</t>
  </si>
  <si>
    <t>C2110</t>
  </si>
  <si>
    <t>C2113</t>
  </si>
  <si>
    <t>C2116</t>
  </si>
  <si>
    <t>Gross margin</t>
  </si>
  <si>
    <t>C2120</t>
  </si>
  <si>
    <t>C2130</t>
  </si>
  <si>
    <t>C2140</t>
  </si>
  <si>
    <t>Fixed costs</t>
  </si>
  <si>
    <t>C2150</t>
  </si>
  <si>
    <t>C2160</t>
  </si>
  <si>
    <t>Rents</t>
  </si>
  <si>
    <t>C2170</t>
  </si>
  <si>
    <t>Other fixed costs</t>
  </si>
  <si>
    <t>C2173</t>
  </si>
  <si>
    <t>C2175</t>
  </si>
  <si>
    <t>C2177</t>
  </si>
  <si>
    <t>C2180</t>
  </si>
  <si>
    <t>Provisions, increase (-) / decrease (+)</t>
  </si>
  <si>
    <t>C2185</t>
  </si>
  <si>
    <t>EBITDA; Operating income before depreciation</t>
  </si>
  <si>
    <t>C2190</t>
  </si>
  <si>
    <t>C2200</t>
  </si>
  <si>
    <t>C2210</t>
  </si>
  <si>
    <t>C2230</t>
  </si>
  <si>
    <t>Goodwill deprecation</t>
  </si>
  <si>
    <t>C2234</t>
  </si>
  <si>
    <t>Other depreciation</t>
  </si>
  <si>
    <t>C2236</t>
  </si>
  <si>
    <t>EBIT; Operating income</t>
  </si>
  <si>
    <t>C2240</t>
  </si>
  <si>
    <t>C2241</t>
  </si>
  <si>
    <t>C2242</t>
  </si>
  <si>
    <t>Financing income and expenses</t>
  </si>
  <si>
    <t>C2250</t>
  </si>
  <si>
    <t>C2253</t>
  </si>
  <si>
    <t>Financing income and expenses Financing file</t>
  </si>
  <si>
    <t>C2256</t>
  </si>
  <si>
    <t>EBT; Income after financing items</t>
  </si>
  <si>
    <t>C2260</t>
  </si>
  <si>
    <t>Extraordinary income and charges</t>
  </si>
  <si>
    <t>C2270</t>
  </si>
  <si>
    <t>Realization profit (-loss)</t>
  </si>
  <si>
    <t>C2280</t>
  </si>
  <si>
    <t>Other extraordinary income (-charges )</t>
  </si>
  <si>
    <t>C2290</t>
  </si>
  <si>
    <t>Income before appropriations and taxes</t>
  </si>
  <si>
    <t>C2330</t>
  </si>
  <si>
    <t>Change in appropriations</t>
  </si>
  <si>
    <t>C2331</t>
  </si>
  <si>
    <t>C2333</t>
  </si>
  <si>
    <t>C2335</t>
  </si>
  <si>
    <t>Income tax</t>
  </si>
  <si>
    <t>C2340</t>
  </si>
  <si>
    <t>Deferred tax</t>
  </si>
  <si>
    <t>C2342</t>
  </si>
  <si>
    <t>Minority interest</t>
  </si>
  <si>
    <t>C2345</t>
  </si>
  <si>
    <t>Net income for the period</t>
  </si>
  <si>
    <t>C2350</t>
  </si>
  <si>
    <t>C2360</t>
  </si>
  <si>
    <t>C2370</t>
  </si>
  <si>
    <t>Investment object</t>
  </si>
  <si>
    <t>x0045</t>
  </si>
  <si>
    <t>Return on net assets (RONA), %</t>
  </si>
  <si>
    <t>C2915</t>
  </si>
  <si>
    <t>Economic Value Added (EVA)</t>
  </si>
  <si>
    <t>C2925</t>
  </si>
  <si>
    <t>Discounted Value Added (DCVA)</t>
  </si>
  <si>
    <t>C2926</t>
  </si>
  <si>
    <t>Cumulative Discounted Value Added</t>
  </si>
  <si>
    <t>C2927</t>
  </si>
  <si>
    <t>Operating profit</t>
  </si>
  <si>
    <t>C2900</t>
  </si>
  <si>
    <t>P05VUNC</t>
  </si>
  <si>
    <t>Net operating profit after tax</t>
  </si>
  <si>
    <t>C2905</t>
  </si>
  <si>
    <t>C2910</t>
  </si>
  <si>
    <t>C2920</t>
  </si>
  <si>
    <t>Group</t>
  </si>
  <si>
    <t>x0046</t>
  </si>
  <si>
    <t>Investment object result before taxes</t>
  </si>
  <si>
    <t>C2930</t>
  </si>
  <si>
    <t>C2940</t>
  </si>
  <si>
    <t>Financial and extraordinary items</t>
  </si>
  <si>
    <t>C2945</t>
  </si>
  <si>
    <t>Total tax effect</t>
  </si>
  <si>
    <t>C2950</t>
  </si>
  <si>
    <t>Group result effect before minority interest</t>
  </si>
  <si>
    <t>C2955</t>
  </si>
  <si>
    <t>C2958</t>
  </si>
  <si>
    <t>Group result effect (cum. fin. year)</t>
  </si>
  <si>
    <t>C2960</t>
  </si>
  <si>
    <t>Group Return on net assets (RONA), %</t>
  </si>
  <si>
    <t>C2965</t>
  </si>
  <si>
    <t>Group Economic Value Added (EVA)</t>
  </si>
  <si>
    <t>C2975</t>
  </si>
  <si>
    <t>Group Discounted Value Added (DCVA)</t>
  </si>
  <si>
    <t>C2976</t>
  </si>
  <si>
    <t>G04VUNC</t>
  </si>
  <si>
    <t>Group Cumulative Discounted Value Added</t>
  </si>
  <si>
    <t>C2977</t>
  </si>
  <si>
    <t>Group Operating profit</t>
  </si>
  <si>
    <t>C2980</t>
  </si>
  <si>
    <t>G05VUNC</t>
  </si>
  <si>
    <t>Group Net operating profit after tax</t>
  </si>
  <si>
    <t>C2985</t>
  </si>
  <si>
    <t>C2990</t>
  </si>
  <si>
    <t>C2995</t>
  </si>
  <si>
    <t>WorkingCapital</t>
  </si>
  <si>
    <t>X0055</t>
  </si>
  <si>
    <t>X0056</t>
  </si>
  <si>
    <t>WORKING CAPITAL</t>
  </si>
  <si>
    <t>x0060</t>
  </si>
  <si>
    <t>x0061</t>
  </si>
  <si>
    <t>x0062</t>
  </si>
  <si>
    <t>Short-term assets</t>
  </si>
  <si>
    <t>C3000</t>
  </si>
  <si>
    <t>C3010</t>
  </si>
  <si>
    <t>Accounts receivable</t>
  </si>
  <si>
    <t>C3020</t>
  </si>
  <si>
    <t>C3030</t>
  </si>
  <si>
    <t>C3031</t>
  </si>
  <si>
    <t>Other receivables</t>
  </si>
  <si>
    <t>C3035</t>
  </si>
  <si>
    <t>C3036</t>
  </si>
  <si>
    <t>Minimum cash</t>
  </si>
  <si>
    <t>C3040</t>
  </si>
  <si>
    <t>Minimum cash, increase (-)/decrease (+)</t>
  </si>
  <si>
    <t>C3041</t>
  </si>
  <si>
    <t>Short-term assets, increase (-)/decrease (+)</t>
  </si>
  <si>
    <t>C3050</t>
  </si>
  <si>
    <t>Inventories</t>
  </si>
  <si>
    <t>C3060</t>
  </si>
  <si>
    <t>C2080</t>
  </si>
  <si>
    <t>C3080</t>
  </si>
  <si>
    <t>C3090</t>
  </si>
  <si>
    <t>Inventories increase (-)/decrease (+)</t>
  </si>
  <si>
    <t>C3100</t>
  </si>
  <si>
    <t>Current liabilities</t>
  </si>
  <si>
    <t>C3110</t>
  </si>
  <si>
    <t>C3120</t>
  </si>
  <si>
    <t>Accounts payable</t>
  </si>
  <si>
    <t>C3130</t>
  </si>
  <si>
    <t>C3140</t>
  </si>
  <si>
    <t>C3141</t>
  </si>
  <si>
    <t>Other current liabilities</t>
  </si>
  <si>
    <t>C3143</t>
  </si>
  <si>
    <t>C3146</t>
  </si>
  <si>
    <t>Current liabilities increase (+)/decrease (-)</t>
  </si>
  <si>
    <t>C3150</t>
  </si>
  <si>
    <t>Change in working capital</t>
  </si>
  <si>
    <t>C3160</t>
  </si>
  <si>
    <t>Net working capital</t>
  </si>
  <si>
    <t>C3170</t>
  </si>
  <si>
    <t>CashFlowTable</t>
  </si>
  <si>
    <t>x0065</t>
  </si>
  <si>
    <t>x0066</t>
  </si>
  <si>
    <t>CASH FLOW STATEMENT</t>
  </si>
  <si>
    <t>x0070</t>
  </si>
  <si>
    <t>x0071</t>
  </si>
  <si>
    <t>x0072</t>
  </si>
  <si>
    <t>Cash flow from operations</t>
  </si>
  <si>
    <t>C4900</t>
  </si>
  <si>
    <t>C4000</t>
  </si>
  <si>
    <t>C4001</t>
  </si>
  <si>
    <t>C4002</t>
  </si>
  <si>
    <t>C4003</t>
  </si>
  <si>
    <t>C4004</t>
  </si>
  <si>
    <t>C4005</t>
  </si>
  <si>
    <t>C4010</t>
  </si>
  <si>
    <t>C4011</t>
  </si>
  <si>
    <t>C4012</t>
  </si>
  <si>
    <t>C4013</t>
  </si>
  <si>
    <t>C4014</t>
  </si>
  <si>
    <t>C4015</t>
  </si>
  <si>
    <t>C4016</t>
  </si>
  <si>
    <t>C4020</t>
  </si>
  <si>
    <t>C4021</t>
  </si>
  <si>
    <t>C4022</t>
  </si>
  <si>
    <t>C4023</t>
  </si>
  <si>
    <t>C4024</t>
  </si>
  <si>
    <t>C4025</t>
  </si>
  <si>
    <t>C4026</t>
  </si>
  <si>
    <t>Extraordinary income &amp; expenses</t>
  </si>
  <si>
    <t>C4030</t>
  </si>
  <si>
    <t>C4040</t>
  </si>
  <si>
    <t>C4050</t>
  </si>
  <si>
    <t>C4051</t>
  </si>
  <si>
    <t>C4052</t>
  </si>
  <si>
    <t>C4053</t>
  </si>
  <si>
    <t>C4060</t>
  </si>
  <si>
    <t>C4069</t>
  </si>
  <si>
    <t>Asset investments and realizations</t>
  </si>
  <si>
    <t>C4070</t>
  </si>
  <si>
    <t>Group items</t>
  </si>
  <si>
    <t>C4073</t>
  </si>
  <si>
    <t>Acquisitions and realizations</t>
  </si>
  <si>
    <t>C4075</t>
  </si>
  <si>
    <t>C4077</t>
  </si>
  <si>
    <t>Tax effects</t>
  </si>
  <si>
    <t>C4078</t>
  </si>
  <si>
    <t>C4080</t>
  </si>
  <si>
    <t>C4090</t>
  </si>
  <si>
    <t>C4091</t>
  </si>
  <si>
    <t>Discount rate (per annum)</t>
  </si>
  <si>
    <t>C4092</t>
  </si>
  <si>
    <t>Information</t>
  </si>
  <si>
    <t>C4093</t>
  </si>
  <si>
    <t>Value in use</t>
  </si>
  <si>
    <t>C4095</t>
  </si>
  <si>
    <t>M03VUNC</t>
  </si>
  <si>
    <t>Financial cash flow</t>
  </si>
  <si>
    <t>C4100</t>
  </si>
  <si>
    <t>Financial income and expenses</t>
  </si>
  <si>
    <t>C4110</t>
  </si>
  <si>
    <t>Correction of income tax for financial items</t>
  </si>
  <si>
    <t>C4115</t>
  </si>
  <si>
    <t>Long-term debt, increase (+) / decrease (-)</t>
  </si>
  <si>
    <t>C4120</t>
  </si>
  <si>
    <t>Changes in interest-bearing long-term debt</t>
  </si>
  <si>
    <t>C4121</t>
  </si>
  <si>
    <t>C4123</t>
  </si>
  <si>
    <t>Changes in long-term debt, Financing file</t>
  </si>
  <si>
    <t>C4126</t>
  </si>
  <si>
    <t>Corporate acquisition debt changes</t>
  </si>
  <si>
    <t>C4127</t>
  </si>
  <si>
    <t>Changes in interest-free long-term debt</t>
  </si>
  <si>
    <t>C4128</t>
  </si>
  <si>
    <t>Changes in short-term borrowings</t>
  </si>
  <si>
    <t>C4138</t>
  </si>
  <si>
    <t>Free cash flow to equity (FCFE)</t>
  </si>
  <si>
    <t>C4444</t>
  </si>
  <si>
    <t>Discounted free cash flow to equity (DFCFE)</t>
  </si>
  <si>
    <t>C4454</t>
  </si>
  <si>
    <t>Cumulative discounted free cash flow to equity</t>
  </si>
  <si>
    <t>C4464</t>
  </si>
  <si>
    <t>Cost of equity (per annum)</t>
  </si>
  <si>
    <t>C4474</t>
  </si>
  <si>
    <t>Equity, increase (+) / decrease (-)</t>
  </si>
  <si>
    <t>C4130</t>
  </si>
  <si>
    <t>Changes in share capital</t>
  </si>
  <si>
    <t>C4133</t>
  </si>
  <si>
    <t>Changes in share issue premium</t>
  </si>
  <si>
    <t>C4134</t>
  </si>
  <si>
    <t>Changes in other restricted equity</t>
  </si>
  <si>
    <t>C4135</t>
  </si>
  <si>
    <t>Changes in mother company equity</t>
  </si>
  <si>
    <t>C4149</t>
  </si>
  <si>
    <t>Changes in retained earnings</t>
  </si>
  <si>
    <t>C4136</t>
  </si>
  <si>
    <t>Total cash flow</t>
  </si>
  <si>
    <t>C4140</t>
  </si>
  <si>
    <t>Cumulative total cash flow</t>
  </si>
  <si>
    <t>C4150</t>
  </si>
  <si>
    <t>BalanceTable</t>
  </si>
  <si>
    <t>x0075</t>
  </si>
  <si>
    <t>x0076</t>
  </si>
  <si>
    <t>BALANCE SHEET</t>
  </si>
  <si>
    <t>x0080</t>
  </si>
  <si>
    <t>x0081</t>
  </si>
  <si>
    <t>x0082</t>
  </si>
  <si>
    <t>ASSETS</t>
  </si>
  <si>
    <t>Opening balance</t>
  </si>
  <si>
    <t>C5000</t>
  </si>
  <si>
    <t>Fixed assets and other non-current assets</t>
  </si>
  <si>
    <t>C5050</t>
  </si>
  <si>
    <t>Intangible assets</t>
  </si>
  <si>
    <t>C5100</t>
  </si>
  <si>
    <t>Immaterial rights</t>
  </si>
  <si>
    <t>C5610</t>
  </si>
  <si>
    <t>Immaterial rights (specified)</t>
  </si>
  <si>
    <t>C5611</t>
  </si>
  <si>
    <t>C5612</t>
  </si>
  <si>
    <t>- Depreciation</t>
  </si>
  <si>
    <t>C5613</t>
  </si>
  <si>
    <t>Capitalized development costs</t>
  </si>
  <si>
    <t>C5620</t>
  </si>
  <si>
    <t>Capitalized development costs (specified)</t>
  </si>
  <si>
    <t>C5621</t>
  </si>
  <si>
    <t>C5622</t>
  </si>
  <si>
    <t>C5623</t>
  </si>
  <si>
    <t>C5630</t>
  </si>
  <si>
    <t>Goodwill (specified)</t>
  </si>
  <si>
    <t>C5115</t>
  </si>
  <si>
    <t>C5140</t>
  </si>
  <si>
    <t>C5150</t>
  </si>
  <si>
    <t>Other intangible assets</t>
  </si>
  <si>
    <t>C5640</t>
  </si>
  <si>
    <t>Other intangible assets (specified)</t>
  </si>
  <si>
    <t>C5110</t>
  </si>
  <si>
    <t>C5120</t>
  </si>
  <si>
    <t>C5130</t>
  </si>
  <si>
    <t>Tangible assets</t>
  </si>
  <si>
    <t>C5300</t>
  </si>
  <si>
    <t>Machinery and equipment</t>
  </si>
  <si>
    <t>C5650</t>
  </si>
  <si>
    <t>Machinery and equipment (specified)</t>
  </si>
  <si>
    <t>C5651</t>
  </si>
  <si>
    <t>C5652</t>
  </si>
  <si>
    <t>C5653</t>
  </si>
  <si>
    <t>Buildings and structures</t>
  </si>
  <si>
    <t>C5660</t>
  </si>
  <si>
    <t>Buildings and structures (specified)</t>
  </si>
  <si>
    <t>C5661</t>
  </si>
  <si>
    <t>C5662</t>
  </si>
  <si>
    <t>C5663</t>
  </si>
  <si>
    <t>Land and water</t>
  </si>
  <si>
    <t>C5670</t>
  </si>
  <si>
    <t>Land and water (specified)</t>
  </si>
  <si>
    <t>C5671</t>
  </si>
  <si>
    <t>C5672</t>
  </si>
  <si>
    <t>C5673</t>
  </si>
  <si>
    <t>Prepayments and construction in progress</t>
  </si>
  <si>
    <t>C5681</t>
  </si>
  <si>
    <t>Prepayments and construction in progress (specified)</t>
  </si>
  <si>
    <t>C5682</t>
  </si>
  <si>
    <t>C5683</t>
  </si>
  <si>
    <t>C5684</t>
  </si>
  <si>
    <t>Other tangible assets</t>
  </si>
  <si>
    <t>C5680</t>
  </si>
  <si>
    <t>Other tangible assets (specified)</t>
  </si>
  <si>
    <t>C5310</t>
  </si>
  <si>
    <t>C5320</t>
  </si>
  <si>
    <t>C5330</t>
  </si>
  <si>
    <t>C5500</t>
  </si>
  <si>
    <t>Investments in associated companies</t>
  </si>
  <si>
    <t>C5690</t>
  </si>
  <si>
    <t>Investments in associated companies (specified)</t>
  </si>
  <si>
    <t>C5691</t>
  </si>
  <si>
    <t>C5692</t>
  </si>
  <si>
    <t>C5693</t>
  </si>
  <si>
    <t>Deferred tax assets</t>
  </si>
  <si>
    <t>C5710</t>
  </si>
  <si>
    <t>Deferred tax assets (specified)</t>
  </si>
  <si>
    <t>C5711</t>
  </si>
  <si>
    <t>C5712</t>
  </si>
  <si>
    <t>C5713</t>
  </si>
  <si>
    <t>Long-term loans receivable</t>
  </si>
  <si>
    <t>C5720</t>
  </si>
  <si>
    <t>Long-term loans receivable (specified)</t>
  </si>
  <si>
    <t>C5721</t>
  </si>
  <si>
    <t>C5722</t>
  </si>
  <si>
    <t>C5723</t>
  </si>
  <si>
    <t>Other investments</t>
  </si>
  <si>
    <t>C5730</t>
  </si>
  <si>
    <t>Other investments (specified)</t>
  </si>
  <si>
    <t>C5510</t>
  </si>
  <si>
    <t>C5520</t>
  </si>
  <si>
    <t>C5530</t>
  </si>
  <si>
    <t>C5700</t>
  </si>
  <si>
    <t>Current Assets</t>
  </si>
  <si>
    <t>C5750</t>
  </si>
  <si>
    <t>Inventories and work in progress</t>
  </si>
  <si>
    <t>C5800</t>
  </si>
  <si>
    <t>C5950</t>
  </si>
  <si>
    <t>C5970</t>
  </si>
  <si>
    <t>Bank and cash</t>
  </si>
  <si>
    <t>C6110</t>
  </si>
  <si>
    <t>C6300</t>
  </si>
  <si>
    <t>C6350</t>
  </si>
  <si>
    <t>C6355</t>
  </si>
  <si>
    <t>C6356</t>
  </si>
  <si>
    <t>G01HUNC</t>
  </si>
  <si>
    <t>C6357</t>
  </si>
  <si>
    <t>C6358</t>
  </si>
  <si>
    <t>C6359</t>
  </si>
  <si>
    <t>C6360</t>
  </si>
  <si>
    <t>C6361</t>
  </si>
  <si>
    <t>C6362</t>
  </si>
  <si>
    <t>C6363</t>
  </si>
  <si>
    <t>C6364</t>
  </si>
  <si>
    <t>C6365</t>
  </si>
  <si>
    <t>C6366</t>
  </si>
  <si>
    <t>Group goodwill (acquisition)</t>
  </si>
  <si>
    <t>C6370</t>
  </si>
  <si>
    <t>Bank and cash, mother company</t>
  </si>
  <si>
    <t>C6380</t>
  </si>
  <si>
    <t>GROUP ASSETS</t>
  </si>
  <si>
    <t>C6399</t>
  </si>
  <si>
    <t>SHAREHOLDERS' EQUITY AND LIABILITIES</t>
  </si>
  <si>
    <t>C6400</t>
  </si>
  <si>
    <t>Shareholders' equity</t>
  </si>
  <si>
    <t>C6500</t>
  </si>
  <si>
    <t>C6510</t>
  </si>
  <si>
    <t>C6515</t>
  </si>
  <si>
    <t>C6517</t>
  </si>
  <si>
    <t>C6520</t>
  </si>
  <si>
    <t>C6530</t>
  </si>
  <si>
    <t>Total shareholders' equity</t>
  </si>
  <si>
    <t>C6590</t>
  </si>
  <si>
    <t>Appropriations</t>
  </si>
  <si>
    <t>C6900</t>
  </si>
  <si>
    <t>Provisions</t>
  </si>
  <si>
    <t>C6920</t>
  </si>
  <si>
    <t>C6950</t>
  </si>
  <si>
    <t>Liabilities</t>
  </si>
  <si>
    <t>C7000</t>
  </si>
  <si>
    <t>Long-term liabilities</t>
  </si>
  <si>
    <t>C7100</t>
  </si>
  <si>
    <t>Interest-bearing long-term debt</t>
  </si>
  <si>
    <t>C7110</t>
  </si>
  <si>
    <t>Interest-free long-term debt</t>
  </si>
  <si>
    <t>C7160</t>
  </si>
  <si>
    <t>Deferred tax liabilities</t>
  </si>
  <si>
    <t>C7170</t>
  </si>
  <si>
    <t>C7199</t>
  </si>
  <si>
    <t>P04VUEC</t>
  </si>
  <si>
    <t>Short-term liabilities</t>
  </si>
  <si>
    <t>C7200</t>
  </si>
  <si>
    <t>Interest-bearing short-term liabilities</t>
  </si>
  <si>
    <t>C7202</t>
  </si>
  <si>
    <t>Short-term borrowings</t>
  </si>
  <si>
    <t>C7204</t>
  </si>
  <si>
    <t>Current portion of long-term loans</t>
  </si>
  <si>
    <t>C7206</t>
  </si>
  <si>
    <t>Interest-free short-term liabilities</t>
  </si>
  <si>
    <t>C7208</t>
  </si>
  <si>
    <t>C7210</t>
  </si>
  <si>
    <t>Other interest-free short-term debt</t>
  </si>
  <si>
    <t>C7215</t>
  </si>
  <si>
    <t>Accrued investment expenditure</t>
  </si>
  <si>
    <t>C7217</t>
  </si>
  <si>
    <t>Calculated tax debt</t>
  </si>
  <si>
    <t>C7220</t>
  </si>
  <si>
    <t>Total liabilities</t>
  </si>
  <si>
    <t>C7350</t>
  </si>
  <si>
    <t>C7400</t>
  </si>
  <si>
    <t>Check: Equity and liabilities - Assets</t>
  </si>
  <si>
    <t>C7401</t>
  </si>
  <si>
    <t>C7430</t>
  </si>
  <si>
    <t>C7440</t>
  </si>
  <si>
    <t>C7455</t>
  </si>
  <si>
    <t>C7460</t>
  </si>
  <si>
    <t>C7470</t>
  </si>
  <si>
    <t>GROUP EQUITY AND LIABILITIES</t>
  </si>
  <si>
    <t>C7499</t>
  </si>
  <si>
    <t>Check: Equity and liabilities - Assets (Group)</t>
  </si>
  <si>
    <t>C7501</t>
  </si>
  <si>
    <t>Impairment test</t>
  </si>
  <si>
    <t>x0090</t>
  </si>
  <si>
    <t>Book value of assets</t>
  </si>
  <si>
    <t>C8090</t>
  </si>
  <si>
    <t>C8095</t>
  </si>
  <si>
    <t>Control value (+ growth capital / - impairment loss)</t>
  </si>
  <si>
    <t>C8100</t>
  </si>
  <si>
    <t>KeyFiguresTable</t>
  </si>
  <si>
    <t>x0085</t>
  </si>
  <si>
    <t>x0086</t>
  </si>
  <si>
    <t>KEY FINANCIALS</t>
  </si>
  <si>
    <t>x0087</t>
  </si>
  <si>
    <t>x0088</t>
  </si>
  <si>
    <t>x0089</t>
  </si>
  <si>
    <t>C8201</t>
  </si>
  <si>
    <t>C8202</t>
  </si>
  <si>
    <t>C8203</t>
  </si>
  <si>
    <t>C8204</t>
  </si>
  <si>
    <t>C8205</t>
  </si>
  <si>
    <t>C8206</t>
  </si>
  <si>
    <t>C8207</t>
  </si>
  <si>
    <t>C8208</t>
  </si>
  <si>
    <t>C8209</t>
  </si>
  <si>
    <t>C8210</t>
  </si>
  <si>
    <t>C8211</t>
  </si>
  <si>
    <t>C8212</t>
  </si>
  <si>
    <t>C8213</t>
  </si>
  <si>
    <t>C8214</t>
  </si>
  <si>
    <t>C8215</t>
  </si>
  <si>
    <t>C8216</t>
  </si>
  <si>
    <t>C8217</t>
  </si>
  <si>
    <t>C8218</t>
  </si>
  <si>
    <t>C8219</t>
  </si>
  <si>
    <t>C8220</t>
  </si>
  <si>
    <t>C8221</t>
  </si>
  <si>
    <t>C8222</t>
  </si>
  <si>
    <t>C8223</t>
  </si>
  <si>
    <t>C8224</t>
  </si>
  <si>
    <t>C8226</t>
  </si>
  <si>
    <t>C8227</t>
  </si>
  <si>
    <t>C8228</t>
  </si>
  <si>
    <t>C8229</t>
  </si>
  <si>
    <t>C8230</t>
  </si>
  <si>
    <t>C8231</t>
  </si>
  <si>
    <t>C8232</t>
  </si>
  <si>
    <t>C8233</t>
  </si>
  <si>
    <t>C8234</t>
  </si>
  <si>
    <t>C8235</t>
  </si>
  <si>
    <t>C8236</t>
  </si>
  <si>
    <t>C8237</t>
  </si>
  <si>
    <t>C8238</t>
  </si>
  <si>
    <t>C8239</t>
  </si>
  <si>
    <t>C8240</t>
  </si>
  <si>
    <t>C8225</t>
  </si>
  <si>
    <t>Group result effect per column</t>
  </si>
  <si>
    <t>C3001</t>
  </si>
  <si>
    <t>Group result effect cumulative balance</t>
  </si>
  <si>
    <t>C3002</t>
  </si>
  <si>
    <t>assets cont. oper</t>
  </si>
  <si>
    <t>C1320</t>
  </si>
  <si>
    <t>C1321</t>
  </si>
  <si>
    <t>Real. profit</t>
  </si>
  <si>
    <t>C1323</t>
  </si>
  <si>
    <t>Real. loss</t>
  </si>
  <si>
    <t>C1324</t>
  </si>
  <si>
    <t>C1322</t>
  </si>
  <si>
    <t>assets discont. oper.</t>
  </si>
  <si>
    <t>C1325</t>
  </si>
  <si>
    <t>P00VUND</t>
  </si>
  <si>
    <t>C1326</t>
  </si>
  <si>
    <t>C1328</t>
  </si>
  <si>
    <t>C1329</t>
  </si>
  <si>
    <t>C1327</t>
  </si>
  <si>
    <t>group cont. oper.</t>
  </si>
  <si>
    <t>C1340</t>
  </si>
  <si>
    <t>C1341</t>
  </si>
  <si>
    <t>C1343</t>
  </si>
  <si>
    <t>C1344</t>
  </si>
  <si>
    <t>C1342</t>
  </si>
  <si>
    <t>group discont. oper.</t>
  </si>
  <si>
    <t>C1345</t>
  </si>
  <si>
    <t>G00VUND</t>
  </si>
  <si>
    <t>C1346</t>
  </si>
  <si>
    <t>C1348</t>
  </si>
  <si>
    <t>C1349</t>
  </si>
  <si>
    <t>C1347</t>
  </si>
  <si>
    <t>Mother company result effect (minus minority interest)</t>
  </si>
  <si>
    <t>C7441</t>
  </si>
  <si>
    <t>Mother share capital and elimination of share capital</t>
  </si>
  <si>
    <t>C7442</t>
  </si>
  <si>
    <t>Accruals per investment, plan</t>
  </si>
  <si>
    <t>Added in 320</t>
  </si>
  <si>
    <t>C3301</t>
  </si>
  <si>
    <t>C3302</t>
  </si>
  <si>
    <t>C3303</t>
  </si>
  <si>
    <t>C3304</t>
  </si>
  <si>
    <t>C3305</t>
  </si>
  <si>
    <t>C3306</t>
  </si>
  <si>
    <t>C3307</t>
  </si>
  <si>
    <t>C3308</t>
  </si>
  <si>
    <t>C3309</t>
  </si>
  <si>
    <t>C3310</t>
  </si>
  <si>
    <t>C3311</t>
  </si>
  <si>
    <t>C3312</t>
  </si>
  <si>
    <t>C3313</t>
  </si>
  <si>
    <t>C3314</t>
  </si>
  <si>
    <t>C3315</t>
  </si>
  <si>
    <t>C3316</t>
  </si>
  <si>
    <t>C3317</t>
  </si>
  <si>
    <t>C3318</t>
  </si>
  <si>
    <t>C3319</t>
  </si>
  <si>
    <t>C3320</t>
  </si>
  <si>
    <t>C3321</t>
  </si>
  <si>
    <t>C3322</t>
  </si>
  <si>
    <t>C3323</t>
  </si>
  <si>
    <t>C3324</t>
  </si>
  <si>
    <t>C3325</t>
  </si>
  <si>
    <t>C3326</t>
  </si>
  <si>
    <t>C3327</t>
  </si>
  <si>
    <t>C3328</t>
  </si>
  <si>
    <t>C3329</t>
  </si>
  <si>
    <t>C3330</t>
  </si>
  <si>
    <t>Accruals per investment, tax depreciation</t>
  </si>
  <si>
    <t>Added in 330</t>
  </si>
  <si>
    <t>C3401</t>
  </si>
  <si>
    <t>C3402</t>
  </si>
  <si>
    <t>C3403</t>
  </si>
  <si>
    <t>C3404</t>
  </si>
  <si>
    <t>C3405</t>
  </si>
  <si>
    <t>C3406</t>
  </si>
  <si>
    <t>C3407</t>
  </si>
  <si>
    <t>C3408</t>
  </si>
  <si>
    <t>C3409</t>
  </si>
  <si>
    <t>C3410</t>
  </si>
  <si>
    <t>C3411</t>
  </si>
  <si>
    <t>C3412</t>
  </si>
  <si>
    <t>C3413</t>
  </si>
  <si>
    <t>C3414</t>
  </si>
  <si>
    <t>C3415</t>
  </si>
  <si>
    <t>C3416</t>
  </si>
  <si>
    <t>C3417</t>
  </si>
  <si>
    <t>C3418</t>
  </si>
  <si>
    <t>C3419</t>
  </si>
  <si>
    <t>C3420</t>
  </si>
  <si>
    <t>C3421</t>
  </si>
  <si>
    <t>C3422</t>
  </si>
  <si>
    <t>C3423</t>
  </si>
  <si>
    <t>C3424</t>
  </si>
  <si>
    <t>C3425</t>
  </si>
  <si>
    <t>C3426</t>
  </si>
  <si>
    <t>C3427</t>
  </si>
  <si>
    <t>C3428</t>
  </si>
  <si>
    <t>C3429</t>
  </si>
  <si>
    <t>C3430</t>
  </si>
  <si>
    <t>Proposed investments</t>
  </si>
  <si>
    <t>assets</t>
  </si>
  <si>
    <t>C1250</t>
  </si>
  <si>
    <t>Proposed subventions</t>
  </si>
  <si>
    <t>C1251</t>
  </si>
  <si>
    <t>Continuous investments</t>
  </si>
  <si>
    <t>C1252</t>
  </si>
  <si>
    <t>Continuous subventions</t>
  </si>
  <si>
    <t>C1253</t>
  </si>
  <si>
    <t>acquisitions</t>
  </si>
  <si>
    <t>C1254</t>
  </si>
  <si>
    <t>C1255</t>
  </si>
  <si>
    <t>C1256</t>
  </si>
  <si>
    <t>C1257</t>
  </si>
  <si>
    <t>PV of proposed investments in assets</t>
  </si>
  <si>
    <t>PV</t>
  </si>
  <si>
    <t>C1258</t>
  </si>
  <si>
    <t>PV of investment subventions</t>
  </si>
  <si>
    <t>C1259</t>
  </si>
  <si>
    <t>PV of investments in shares</t>
  </si>
  <si>
    <t>C1260</t>
  </si>
  <si>
    <t>PV of continuous investments</t>
  </si>
  <si>
    <t>C1261</t>
  </si>
  <si>
    <t>Cons assets</t>
  </si>
  <si>
    <t>C1250C</t>
  </si>
  <si>
    <t>C1251C</t>
  </si>
  <si>
    <t>C1252C</t>
  </si>
  <si>
    <t>C1253C</t>
  </si>
  <si>
    <t>Cons acq.</t>
  </si>
  <si>
    <t>C1254C</t>
  </si>
  <si>
    <t>C1255C</t>
  </si>
  <si>
    <t>C1256C</t>
  </si>
  <si>
    <t>C1257C</t>
  </si>
  <si>
    <t>Cons PV</t>
  </si>
  <si>
    <t>C1258C</t>
  </si>
  <si>
    <t>C1259C</t>
  </si>
  <si>
    <t>C1260C</t>
  </si>
  <si>
    <t>C1261C</t>
  </si>
  <si>
    <t>Old file consolidated investments</t>
  </si>
  <si>
    <t>C1298</t>
  </si>
  <si>
    <t>Old file consolidated investments, discounted</t>
  </si>
  <si>
    <t>C1299</t>
  </si>
  <si>
    <t>C2380</t>
  </si>
  <si>
    <t>C2390</t>
  </si>
  <si>
    <t>C2400</t>
  </si>
  <si>
    <t>Previous financial closing (relative column)</t>
  </si>
  <si>
    <t>P0002</t>
  </si>
  <si>
    <t>Depreciation allocated overvalue</t>
  </si>
  <si>
    <t>C1484</t>
  </si>
  <si>
    <t>Allocated overvalue balance</t>
  </si>
  <si>
    <t>C1486</t>
  </si>
  <si>
    <t>Depreciation deferred tax liability</t>
  </si>
  <si>
    <t>C1485</t>
  </si>
  <si>
    <t>Deferred tax liability balance</t>
  </si>
  <si>
    <t>C1487</t>
  </si>
  <si>
    <t>C1501</t>
  </si>
  <si>
    <t>C1502</t>
  </si>
  <si>
    <t>C1503</t>
  </si>
  <si>
    <t>C1504</t>
  </si>
  <si>
    <t>C1505</t>
  </si>
  <si>
    <t>C1506</t>
  </si>
  <si>
    <t>C1507</t>
  </si>
  <si>
    <t>C1508</t>
  </si>
  <si>
    <t>C1509</t>
  </si>
  <si>
    <t>C1510</t>
  </si>
  <si>
    <t>C1511</t>
  </si>
  <si>
    <t>C1512</t>
  </si>
  <si>
    <t>Cumulative compounded/discounted, payback</t>
  </si>
  <si>
    <t>C4170</t>
  </si>
  <si>
    <t>C4180</t>
  </si>
  <si>
    <t>C4190</t>
  </si>
  <si>
    <t>?</t>
  </si>
  <si>
    <t>C4200</t>
  </si>
  <si>
    <t>C4210</t>
  </si>
  <si>
    <t>C4220</t>
  </si>
  <si>
    <t>C4240</t>
  </si>
  <si>
    <t>C4250</t>
  </si>
  <si>
    <t>C4260</t>
  </si>
  <si>
    <t>C4270</t>
  </si>
  <si>
    <t>C4280</t>
  </si>
  <si>
    <t>Discounted investments</t>
  </si>
  <si>
    <t>C4285</t>
  </si>
  <si>
    <t>C4290</t>
  </si>
  <si>
    <t>C4291</t>
  </si>
  <si>
    <t>C4292</t>
  </si>
  <si>
    <t>C4293</t>
  </si>
  <si>
    <t>C4294</t>
  </si>
  <si>
    <t>C4295</t>
  </si>
  <si>
    <t>C4296</t>
  </si>
  <si>
    <t>C4297</t>
  </si>
  <si>
    <t>C4298</t>
  </si>
  <si>
    <t>C4299</t>
  </si>
  <si>
    <t>DiscYearPerPeriod</t>
  </si>
  <si>
    <t>C4398</t>
  </si>
  <si>
    <t>DiscMonthPerPeriod</t>
  </si>
  <si>
    <t>C4399</t>
  </si>
  <si>
    <t>Interest-bearing net debt of acquired company</t>
  </si>
  <si>
    <t>C4545</t>
  </si>
  <si>
    <t>Compound/discount to CalcPoint</t>
  </si>
  <si>
    <t>C4300</t>
  </si>
  <si>
    <t>Compound/discount to CalcPointPB</t>
  </si>
  <si>
    <t>C4310</t>
  </si>
  <si>
    <t>Discounted</t>
  </si>
  <si>
    <t>C4320</t>
  </si>
  <si>
    <t>Compounded/discounted</t>
  </si>
  <si>
    <t>C4330</t>
  </si>
  <si>
    <t>Compounded/discounted, payback</t>
  </si>
  <si>
    <t>C4340</t>
  </si>
  <si>
    <t>Cumulative discounted</t>
  </si>
  <si>
    <t>C4350</t>
  </si>
  <si>
    <t>Cumulative compounded/discounted</t>
  </si>
  <si>
    <t>C4360</t>
  </si>
  <si>
    <t>C4370</t>
  </si>
  <si>
    <t>Cumulative months</t>
  </si>
  <si>
    <t>C4400</t>
  </si>
  <si>
    <t>Current portion of acquisition loan</t>
  </si>
  <si>
    <t>C4405</t>
  </si>
  <si>
    <t>Current portion of ProFinance loan amortizations</t>
  </si>
  <si>
    <t>C4410</t>
  </si>
  <si>
    <t>Current portion of ProFinance loan amortizations, Group</t>
  </si>
  <si>
    <t>C4420</t>
  </si>
  <si>
    <t>Cash-flow table loans current portions</t>
  </si>
  <si>
    <t>C4430</t>
  </si>
  <si>
    <t>C4440</t>
  </si>
  <si>
    <t>PV of operative cash flow, discounted</t>
  </si>
  <si>
    <t>C4450</t>
  </si>
  <si>
    <t>PV of operative cash flow, Compounded/discounted</t>
  </si>
  <si>
    <t>C4455</t>
  </si>
  <si>
    <t>PV of operative cash flow</t>
  </si>
  <si>
    <t>C4460</t>
  </si>
  <si>
    <t>Financing costs cumulative fin.year</t>
  </si>
  <si>
    <t>C4480</t>
  </si>
  <si>
    <t>Financing costs cumulative fin.year, Mother co.</t>
  </si>
  <si>
    <t>C4481</t>
  </si>
  <si>
    <t>Income before taxes, cum. fin. year</t>
  </si>
  <si>
    <t>C4482</t>
  </si>
  <si>
    <t>Income before taxes, cum. fin. year, Mother co.</t>
  </si>
  <si>
    <t>C4483</t>
  </si>
  <si>
    <t>CalculatedTax1</t>
  </si>
  <si>
    <t>C4500</t>
  </si>
  <si>
    <t>CalculatedTax2</t>
  </si>
  <si>
    <t>C4510</t>
  </si>
  <si>
    <t>CalculatedTax3</t>
  </si>
  <si>
    <t>C4520</t>
  </si>
  <si>
    <t>CalculatedTax4</t>
  </si>
  <si>
    <t>C4530</t>
  </si>
  <si>
    <t>C4484</t>
  </si>
  <si>
    <t>Tax rate, mother company</t>
  </si>
  <si>
    <t>C4599</t>
  </si>
  <si>
    <t>Corr. tax effect of financial items</t>
  </si>
  <si>
    <t>C4485</t>
  </si>
  <si>
    <t>Corr. tax effect of financial items, mother</t>
  </si>
  <si>
    <t>C4486</t>
  </si>
  <si>
    <t>C5110C</t>
  </si>
  <si>
    <t>C5120C</t>
  </si>
  <si>
    <t>C5130C</t>
  </si>
  <si>
    <t>C5140C</t>
  </si>
  <si>
    <t>C5150C</t>
  </si>
  <si>
    <t>C5682C</t>
  </si>
  <si>
    <t>C5683C</t>
  </si>
  <si>
    <t>C5684C</t>
  </si>
  <si>
    <t>C5310C</t>
  </si>
  <si>
    <t>C5320C</t>
  </si>
  <si>
    <t>C5330C</t>
  </si>
  <si>
    <t>Changed in 2.10</t>
  </si>
  <si>
    <t>C5510C</t>
  </si>
  <si>
    <t>C5520C</t>
  </si>
  <si>
    <t>C5530C</t>
  </si>
  <si>
    <t>C5800C</t>
  </si>
  <si>
    <t>C5950C</t>
  </si>
  <si>
    <t>C5970C</t>
  </si>
  <si>
    <t>C6110C</t>
  </si>
  <si>
    <t>C6510C</t>
  </si>
  <si>
    <t>C6515C</t>
  </si>
  <si>
    <t>C6517C</t>
  </si>
  <si>
    <t>C6520C</t>
  </si>
  <si>
    <t>C6530C</t>
  </si>
  <si>
    <t>C6900C</t>
  </si>
  <si>
    <t>C6920C</t>
  </si>
  <si>
    <t>C6950C</t>
  </si>
  <si>
    <t>C7110C</t>
  </si>
  <si>
    <t>C7160C</t>
  </si>
  <si>
    <t>C7170C</t>
  </si>
  <si>
    <t>C7199C</t>
  </si>
  <si>
    <t>C7210C</t>
  </si>
  <si>
    <t>C7215C</t>
  </si>
  <si>
    <t>Added in 2.10</t>
  </si>
  <si>
    <t>C1150C</t>
  </si>
  <si>
    <t>Added in 2.21</t>
  </si>
  <si>
    <t>C1155C</t>
  </si>
  <si>
    <t>C1160C</t>
  </si>
  <si>
    <t>C1170C</t>
  </si>
  <si>
    <t>C1180C</t>
  </si>
  <si>
    <t>C1330C</t>
  </si>
  <si>
    <t>C1335C</t>
  </si>
  <si>
    <t>C1331C</t>
  </si>
  <si>
    <t>C1332C</t>
  </si>
  <si>
    <t>C1333C</t>
  </si>
  <si>
    <t>C1391C</t>
  </si>
  <si>
    <t>Balance depreciation, continuous operations</t>
  </si>
  <si>
    <t>C7600</t>
  </si>
  <si>
    <t>Balance depreciation, discontinued operations</t>
  </si>
  <si>
    <t>C7601</t>
  </si>
  <si>
    <t>Other expenses, continuous operations</t>
  </si>
  <si>
    <t>C7602</t>
  </si>
  <si>
    <t>C1189C</t>
  </si>
  <si>
    <t>C1190C</t>
  </si>
  <si>
    <t>C1191C</t>
  </si>
  <si>
    <t>C1192C</t>
  </si>
  <si>
    <t>C5612C</t>
  </si>
  <si>
    <t>C5622C</t>
  </si>
  <si>
    <t>C5652C</t>
  </si>
  <si>
    <t>C5662C</t>
  </si>
  <si>
    <t>C5672C</t>
  </si>
  <si>
    <t>C5692C</t>
  </si>
  <si>
    <t>C5712C</t>
  </si>
  <si>
    <t>C5722C</t>
  </si>
  <si>
    <t>C5611C</t>
  </si>
  <si>
    <t>C5613C</t>
  </si>
  <si>
    <t>C5621C</t>
  </si>
  <si>
    <t>C5623C</t>
  </si>
  <si>
    <t>C5115C</t>
  </si>
  <si>
    <t>C5651C</t>
  </si>
  <si>
    <t>C5653C</t>
  </si>
  <si>
    <t>C5661C</t>
  </si>
  <si>
    <t>C5663C</t>
  </si>
  <si>
    <t>C5671C</t>
  </si>
  <si>
    <t>C5673C</t>
  </si>
  <si>
    <t>C5691C</t>
  </si>
  <si>
    <t>C5693C</t>
  </si>
  <si>
    <t>C5711C</t>
  </si>
  <si>
    <t>C5713C</t>
  </si>
  <si>
    <t>C5721C</t>
  </si>
  <si>
    <t>C5723C</t>
  </si>
  <si>
    <t>C7450C</t>
  </si>
  <si>
    <t>C7455C</t>
  </si>
  <si>
    <t>C4078D</t>
  </si>
  <si>
    <t>C1700</t>
  </si>
  <si>
    <t>Capitalized financing costs</t>
  </si>
  <si>
    <t>3.5.001</t>
  </si>
  <si>
    <t>C1701</t>
  </si>
  <si>
    <t>C1702</t>
  </si>
  <si>
    <t>C1703</t>
  </si>
  <si>
    <t>C1704</t>
  </si>
  <si>
    <t>C1705</t>
  </si>
  <si>
    <t>C1706</t>
  </si>
  <si>
    <t>C1707</t>
  </si>
  <si>
    <t>C1708</t>
  </si>
  <si>
    <t>C1709</t>
  </si>
  <si>
    <t>C1710</t>
  </si>
  <si>
    <t>C1711</t>
  </si>
  <si>
    <t>C1712</t>
  </si>
  <si>
    <t>C1713</t>
  </si>
  <si>
    <t>C1714</t>
  </si>
  <si>
    <t>C1715</t>
  </si>
  <si>
    <t>C1716</t>
  </si>
  <si>
    <t>C1717</t>
  </si>
  <si>
    <t>C1718</t>
  </si>
  <si>
    <t>C1719</t>
  </si>
  <si>
    <t>C1720</t>
  </si>
  <si>
    <t>C1721</t>
  </si>
  <si>
    <t>C1722</t>
  </si>
  <si>
    <t>C1723</t>
  </si>
  <si>
    <t>C1724</t>
  </si>
  <si>
    <t>C1725</t>
  </si>
  <si>
    <t>C1726</t>
  </si>
  <si>
    <t>C1727</t>
  </si>
  <si>
    <t>C1728</t>
  </si>
  <si>
    <t>C1729</t>
  </si>
  <si>
    <t>C1730</t>
  </si>
  <si>
    <t>Cost of equity, annual</t>
  </si>
  <si>
    <t>C1750</t>
  </si>
  <si>
    <t>Cost of equity, per period</t>
  </si>
  <si>
    <t>C1751</t>
  </si>
  <si>
    <t>Compounded/discounted FCFE</t>
  </si>
  <si>
    <t>C1752</t>
  </si>
  <si>
    <t>Compounded/discounted FCFE, payback</t>
  </si>
  <si>
    <t>C1753</t>
  </si>
  <si>
    <t>Cumulative</t>
  </si>
  <si>
    <t>C1755</t>
  </si>
  <si>
    <t>C1756</t>
  </si>
  <si>
    <t>C1757</t>
  </si>
  <si>
    <t>C1758</t>
  </si>
  <si>
    <t>C1759</t>
  </si>
  <si>
    <t>C1760</t>
  </si>
  <si>
    <t>C1761</t>
  </si>
  <si>
    <t>C1762</t>
  </si>
  <si>
    <t>C1763</t>
  </si>
  <si>
    <t>Free cash flow</t>
  </si>
  <si>
    <t>C1767</t>
  </si>
  <si>
    <t>Realization profit/loss cumulative within year</t>
  </si>
  <si>
    <t>C1768</t>
  </si>
  <si>
    <t>Realization profit/loss cumulative within year, group</t>
  </si>
  <si>
    <t>C1769</t>
  </si>
  <si>
    <t>C1770</t>
  </si>
  <si>
    <t>C1771</t>
  </si>
  <si>
    <t>C1772</t>
  </si>
  <si>
    <t>C1773</t>
  </si>
  <si>
    <t>C1774</t>
  </si>
  <si>
    <t>C1775</t>
  </si>
  <si>
    <t>C1776</t>
  </si>
  <si>
    <t>C1777</t>
  </si>
  <si>
    <t>C1778</t>
  </si>
  <si>
    <t>C1779</t>
  </si>
  <si>
    <t>C1780</t>
  </si>
  <si>
    <t>C1781</t>
  </si>
  <si>
    <t>Goodwill depreciation Investment Table (written by VBA)</t>
  </si>
  <si>
    <t>C1782</t>
  </si>
  <si>
    <t>Goodwill depreciation Investment Table, consolidated</t>
  </si>
  <si>
    <t>C1782C</t>
  </si>
  <si>
    <t>zzEnd</t>
  </si>
  <si>
    <t>To the comparison table:</t>
  </si>
  <si>
    <t>Investment proposal:</t>
  </si>
  <si>
    <t>Impairment test verification:</t>
  </si>
  <si>
    <t>ResultTable</t>
  </si>
  <si>
    <t>P R O F I T A B I L I T Y  A N A L Y S I S</t>
  </si>
  <si>
    <t>C100</t>
  </si>
  <si>
    <t>Project description</t>
  </si>
  <si>
    <t>C110</t>
  </si>
  <si>
    <t>To Firm</t>
  </si>
  <si>
    <t>C112</t>
  </si>
  <si>
    <t>C115</t>
  </si>
  <si>
    <t>Nominal value of all investments</t>
  </si>
  <si>
    <t>C120</t>
  </si>
  <si>
    <t>Required rate of return</t>
  </si>
  <si>
    <t>C130</t>
  </si>
  <si>
    <t>Calculation term</t>
  </si>
  <si>
    <t>C140</t>
  </si>
  <si>
    <t>Calculation point</t>
  </si>
  <si>
    <t>C155</t>
  </si>
  <si>
    <t>C160</t>
  </si>
  <si>
    <t>C161</t>
  </si>
  <si>
    <t>Present value of business cash flows</t>
  </si>
  <si>
    <t>Notes</t>
  </si>
  <si>
    <t>C162</t>
  </si>
  <si>
    <t>±</t>
  </si>
  <si>
    <t>C165</t>
  </si>
  <si>
    <t>PV of residual value</t>
  </si>
  <si>
    <t>C166</t>
  </si>
  <si>
    <t>C900</t>
  </si>
  <si>
    <t>C905</t>
  </si>
  <si>
    <t>C910</t>
  </si>
  <si>
    <t xml:space="preserve">      Net cash flow for year</t>
  </si>
  <si>
    <t>Extrapolation period</t>
  </si>
  <si>
    <t>C915</t>
  </si>
  <si>
    <t>C920</t>
  </si>
  <si>
    <t>C925</t>
  </si>
  <si>
    <t>C930</t>
  </si>
  <si>
    <t>Discount rate</t>
  </si>
  <si>
    <t>C935</t>
  </si>
  <si>
    <t>C940</t>
  </si>
  <si>
    <t xml:space="preserve">      Standard (no growth)</t>
  </si>
  <si>
    <t>C945</t>
  </si>
  <si>
    <t>C950</t>
  </si>
  <si>
    <t xml:space="preserve">      Growing by annual percent</t>
  </si>
  <si>
    <t>C955</t>
  </si>
  <si>
    <t>C960</t>
  </si>
  <si>
    <t>C965</t>
  </si>
  <si>
    <t>Implied Exit multiple</t>
  </si>
  <si>
    <t>&lt;</t>
  </si>
  <si>
    <t>Residual value</t>
  </si>
  <si>
    <t>C970</t>
  </si>
  <si>
    <t>C990</t>
  </si>
  <si>
    <t>C300</t>
  </si>
  <si>
    <t>C305</t>
  </si>
  <si>
    <t>C380</t>
  </si>
  <si>
    <t>Total Present Value (PV)</t>
  </si>
  <si>
    <t>C385</t>
  </si>
  <si>
    <t>C310</t>
  </si>
  <si>
    <t>C390</t>
  </si>
  <si>
    <t>C391</t>
  </si>
  <si>
    <t>C392</t>
  </si>
  <si>
    <t>C393</t>
  </si>
  <si>
    <t>C394</t>
  </si>
  <si>
    <t>C395</t>
  </si>
  <si>
    <t>C396</t>
  </si>
  <si>
    <t>C397</t>
  </si>
  <si>
    <t>C398</t>
  </si>
  <si>
    <t>C399</t>
  </si>
  <si>
    <t>Free cash flow-based equity value (EV)</t>
  </si>
  <si>
    <t>C400</t>
  </si>
  <si>
    <t>EV / EBITDA</t>
  </si>
  <si>
    <t>Based on EBITDA:</t>
  </si>
  <si>
    <t>C402</t>
  </si>
  <si>
    <t>C401</t>
  </si>
  <si>
    <t>Investment proposal</t>
  </si>
  <si>
    <t>Nominal</t>
  </si>
  <si>
    <t>C320</t>
  </si>
  <si>
    <t>Proposed investments in assets</t>
  </si>
  <si>
    <t>C330</t>
  </si>
  <si>
    <t>Investment subventions</t>
  </si>
  <si>
    <t>C340</t>
  </si>
  <si>
    <t>Proposed investments in shares</t>
  </si>
  <si>
    <t>C350</t>
  </si>
  <si>
    <t>C360</t>
  </si>
  <si>
    <t>C370</t>
  </si>
  <si>
    <t xml:space="preserve"> profitable</t>
  </si>
  <si>
    <t>Net Present Value (NPV)</t>
  </si>
  <si>
    <t>C170</t>
  </si>
  <si>
    <t xml:space="preserve"> not profitable</t>
  </si>
  <si>
    <t>NPV as a monthly annuity</t>
  </si>
  <si>
    <t>C180</t>
  </si>
  <si>
    <t>C181</t>
  </si>
  <si>
    <t>Annuity of investment</t>
  </si>
  <si>
    <t>Annual annuity</t>
  </si>
  <si>
    <t>C185</t>
  </si>
  <si>
    <t>C186</t>
  </si>
  <si>
    <t>C500</t>
  </si>
  <si>
    <t>Book value of assets (A)</t>
  </si>
  <si>
    <t>C510</t>
  </si>
  <si>
    <t>Value in use (B)</t>
  </si>
  <si>
    <t>C520</t>
  </si>
  <si>
    <t>C530</t>
  </si>
  <si>
    <t>C540</t>
  </si>
  <si>
    <t>Internal Rate of Return (IRR)</t>
  </si>
  <si>
    <t>C190</t>
  </si>
  <si>
    <t>Internal Rate of Return before tax</t>
  </si>
  <si>
    <t>C191</t>
  </si>
  <si>
    <t>Modified Internal Rate of Return (MIRR)</t>
  </si>
  <si>
    <t>C200</t>
  </si>
  <si>
    <t>Profitability Index (PI)</t>
  </si>
  <si>
    <t>C210</t>
  </si>
  <si>
    <t>C211</t>
  </si>
  <si>
    <t>Payback time, years</t>
  </si>
  <si>
    <t>Based on discounted FCF</t>
  </si>
  <si>
    <t>C220</t>
  </si>
  <si>
    <t>C225</t>
  </si>
  <si>
    <t>C227</t>
  </si>
  <si>
    <t>Calculation point, Payback</t>
  </si>
  <si>
    <t>C228</t>
  </si>
  <si>
    <t>Simple Payback, years</t>
  </si>
  <si>
    <t>Based on FCF</t>
  </si>
  <si>
    <t>C701</t>
  </si>
  <si>
    <t>C229</t>
  </si>
  <si>
    <t>C410</t>
  </si>
  <si>
    <t>C420</t>
  </si>
  <si>
    <t>C421</t>
  </si>
  <si>
    <t>C182</t>
  </si>
  <si>
    <t>C183</t>
  </si>
  <si>
    <t>Internal Rate of Return based on DCVA (IRRd)</t>
  </si>
  <si>
    <t>C244</t>
  </si>
  <si>
    <t>Modified Internal Rate of Return based on DCVA (MIRRd)</t>
  </si>
  <si>
    <t>C246</t>
  </si>
  <si>
    <t>C248</t>
  </si>
  <si>
    <t>Payback time, years, based on DCVA</t>
  </si>
  <si>
    <t>C250</t>
  </si>
  <si>
    <t>C252</t>
  </si>
  <si>
    <t>C254</t>
  </si>
  <si>
    <t>C256</t>
  </si>
  <si>
    <t>C258</t>
  </si>
  <si>
    <t>To Equity</t>
  </si>
  <si>
    <t>C600</t>
  </si>
  <si>
    <t>C602</t>
  </si>
  <si>
    <t>Cost of Equity</t>
  </si>
  <si>
    <t>C603</t>
  </si>
  <si>
    <t>C606</t>
  </si>
  <si>
    <t>Discounted FCFE without residual value</t>
  </si>
  <si>
    <t>C609</t>
  </si>
  <si>
    <t>PV of residual value to equity</t>
  </si>
  <si>
    <t>C612</t>
  </si>
  <si>
    <t>C615</t>
  </si>
  <si>
    <t>C618</t>
  </si>
  <si>
    <t>C621</t>
  </si>
  <si>
    <t>C624</t>
  </si>
  <si>
    <t>C627</t>
  </si>
  <si>
    <t>C630</t>
  </si>
  <si>
    <t>C633</t>
  </si>
  <si>
    <t>C636</t>
  </si>
  <si>
    <t>C639</t>
  </si>
  <si>
    <t>C642</t>
  </si>
  <si>
    <t>C645</t>
  </si>
  <si>
    <t>C648</t>
  </si>
  <si>
    <t>C651</t>
  </si>
  <si>
    <t>Debt residual correction</t>
  </si>
  <si>
    <t>C652</t>
  </si>
  <si>
    <t>Net Present Value to equity (NPVe)</t>
  </si>
  <si>
    <t>C654</t>
  </si>
  <si>
    <t>NPVe as a monthly annuity</t>
  </si>
  <si>
    <t>C657</t>
  </si>
  <si>
    <t>C660</t>
  </si>
  <si>
    <t>Internal Rate of Return to equity (IRRe)</t>
  </si>
  <si>
    <t>C663</t>
  </si>
  <si>
    <t>Internal Rate of Return to equity before tax</t>
  </si>
  <si>
    <t>C664</t>
  </si>
  <si>
    <t>Modified Internal Rate of Return to equity (MIRRe)</t>
  </si>
  <si>
    <t>C666</t>
  </si>
  <si>
    <t>C672</t>
  </si>
  <si>
    <t>Payback time to equity, years</t>
  </si>
  <si>
    <t>Based on discounted FCFE</t>
  </si>
  <si>
    <t>C675</t>
  </si>
  <si>
    <t>C678</t>
  </si>
  <si>
    <t>C681</t>
  </si>
  <si>
    <t>C684</t>
  </si>
  <si>
    <t>Simple Payback to equity, years</t>
  </si>
  <si>
    <t>Based on FCFE</t>
  </si>
  <si>
    <t>C702</t>
  </si>
  <si>
    <t>C699</t>
  </si>
  <si>
    <t>C223</t>
  </si>
  <si>
    <t>Calculation is made by</t>
  </si>
  <si>
    <t>C230</t>
  </si>
  <si>
    <t>C235</t>
  </si>
  <si>
    <t>C240</t>
  </si>
  <si>
    <t xml:space="preserve">      Show conclusions of profitability indicators</t>
  </si>
  <si>
    <t>DiscAnalysis</t>
  </si>
  <si>
    <t>Discount factor's impact on profitability</t>
  </si>
  <si>
    <t xml:space="preserve"> Discount factor</t>
  </si>
  <si>
    <t xml:space="preserve"> Change, %</t>
  </si>
  <si>
    <t xml:space="preserve"> Cost of equity</t>
  </si>
  <si>
    <t>InvestmentAnalysis</t>
  </si>
  <si>
    <t>Total investment's impact on profitability</t>
  </si>
  <si>
    <t xml:space="preserve"> Key financials</t>
  </si>
  <si>
    <t>TurnoverAnalysis</t>
  </si>
  <si>
    <t>Income's impact on profitability</t>
  </si>
  <si>
    <t xml:space="preserve"> Change in Income, %</t>
  </si>
  <si>
    <t>VariableCostAnalysis</t>
  </si>
  <si>
    <t>Variable cost's impact on profitability</t>
  </si>
  <si>
    <t xml:space="preserve"> Change in Variable costs, %</t>
  </si>
  <si>
    <t>FixedCostAnalysis</t>
  </si>
  <si>
    <t>Fixed cost's impact on profitability</t>
  </si>
  <si>
    <t xml:space="preserve"> Change in Fixed costs, %</t>
  </si>
  <si>
    <t>IncVarAnalysis1</t>
  </si>
  <si>
    <t xml:space="preserve"> Variable</t>
  </si>
  <si>
    <t xml:space="preserve"> Change in value, %</t>
  </si>
  <si>
    <t xml:space="preserve"> Sample value</t>
  </si>
  <si>
    <t>IFRSstatements</t>
  </si>
  <si>
    <t>IFRSSheet</t>
  </si>
  <si>
    <t>Include key figures</t>
  </si>
  <si>
    <t>Continuing operations</t>
  </si>
  <si>
    <t>Sales</t>
  </si>
  <si>
    <t>Other income</t>
  </si>
  <si>
    <t>Materials and services</t>
  </si>
  <si>
    <t>Employee benefit costs</t>
  </si>
  <si>
    <t>Depreciation, amortisation and impairment charges</t>
  </si>
  <si>
    <t>Other expenses</t>
  </si>
  <si>
    <t>C1200</t>
  </si>
  <si>
    <t>C1220</t>
  </si>
  <si>
    <t>C1240</t>
  </si>
  <si>
    <t>Share of profit of associates and joint ventures</t>
  </si>
  <si>
    <t>C1280</t>
  </si>
  <si>
    <t>Net financial items</t>
  </si>
  <si>
    <t>C1300</t>
  </si>
  <si>
    <t>Profit before income tax</t>
  </si>
  <si>
    <t>Income tax expense</t>
  </si>
  <si>
    <t>Profit for the period from continuing operations</t>
  </si>
  <si>
    <t>Discontinued operations</t>
  </si>
  <si>
    <t>Profit for the period from discontinued operations</t>
  </si>
  <si>
    <t>Profit for the period</t>
  </si>
  <si>
    <t>C1500</t>
  </si>
  <si>
    <t>C1520</t>
  </si>
  <si>
    <t>C1540</t>
  </si>
  <si>
    <t>Attributable to:</t>
  </si>
  <si>
    <t>C1560</t>
  </si>
  <si>
    <t>Equity holders of the company</t>
  </si>
  <si>
    <t>C1580</t>
  </si>
  <si>
    <t>C1600</t>
  </si>
  <si>
    <t>C1620</t>
  </si>
  <si>
    <t>C1640</t>
  </si>
  <si>
    <t>C1660</t>
  </si>
  <si>
    <t>C1680</t>
  </si>
  <si>
    <t>C1740</t>
  </si>
  <si>
    <t>Non-current assets</t>
  </si>
  <si>
    <t>Property, plant and equipment</t>
  </si>
  <si>
    <t>C1800</t>
  </si>
  <si>
    <t>Investments in associates</t>
  </si>
  <si>
    <t>C1820</t>
  </si>
  <si>
    <t>Other long-term investments</t>
  </si>
  <si>
    <t>C1840</t>
  </si>
  <si>
    <t>C1860</t>
  </si>
  <si>
    <t>Long-term interest bearing receivables</t>
  </si>
  <si>
    <t>C1880</t>
  </si>
  <si>
    <t>Total non-current assets</t>
  </si>
  <si>
    <t>C1900</t>
  </si>
  <si>
    <t>C1920</t>
  </si>
  <si>
    <t>Current assets</t>
  </si>
  <si>
    <t>C1940</t>
  </si>
  <si>
    <t>C1960</t>
  </si>
  <si>
    <t>Trade and other receivables</t>
  </si>
  <si>
    <t>C1980</t>
  </si>
  <si>
    <t>Cash and cash equivalents</t>
  </si>
  <si>
    <t>Total current assets</t>
  </si>
  <si>
    <t>C2020</t>
  </si>
  <si>
    <t>Total assets</t>
  </si>
  <si>
    <t>EQUITY</t>
  </si>
  <si>
    <t>Capital and reserves attributable the Company's equity holders</t>
  </si>
  <si>
    <t>Other equity</t>
  </si>
  <si>
    <t xml:space="preserve">Total </t>
  </si>
  <si>
    <t>Total equity</t>
  </si>
  <si>
    <t>C2220</t>
  </si>
  <si>
    <t>LIABILITIES</t>
  </si>
  <si>
    <t>Non-current liabilities</t>
  </si>
  <si>
    <t>Interest-bearing liabilities</t>
  </si>
  <si>
    <t>C2300</t>
  </si>
  <si>
    <t>C2320</t>
  </si>
  <si>
    <t>Other liabilities</t>
  </si>
  <si>
    <t>Total non-current liabilities</t>
  </si>
  <si>
    <t>C2420</t>
  </si>
  <si>
    <t>C2440</t>
  </si>
  <si>
    <t>Current tax liability</t>
  </si>
  <si>
    <t>C2460</t>
  </si>
  <si>
    <t>Trade and other payables</t>
  </si>
  <si>
    <t>C2480</t>
  </si>
  <si>
    <t>Total current liabilities</t>
  </si>
  <si>
    <t>C2500</t>
  </si>
  <si>
    <t>C2520</t>
  </si>
  <si>
    <t>C2540</t>
  </si>
  <si>
    <t>C2560</t>
  </si>
  <si>
    <t>Total equity and liabilities</t>
  </si>
  <si>
    <t>C2580</t>
  </si>
  <si>
    <t>C2600</t>
  </si>
  <si>
    <t>C2620</t>
  </si>
  <si>
    <t>C2640</t>
  </si>
  <si>
    <t>Cash flow from operating activities</t>
  </si>
  <si>
    <t>C2660</t>
  </si>
  <si>
    <t>Operating profit before depreciations continuing operations</t>
  </si>
  <si>
    <t>C2680</t>
  </si>
  <si>
    <t>Non-cash flow items and divesting activities</t>
  </si>
  <si>
    <t>C2700</t>
  </si>
  <si>
    <t>C2720</t>
  </si>
  <si>
    <t>Dividends received</t>
  </si>
  <si>
    <t>C2740</t>
  </si>
  <si>
    <t>Taxes</t>
  </si>
  <si>
    <t>C2760</t>
  </si>
  <si>
    <t>Funds from operations continuing operations</t>
  </si>
  <si>
    <t>C2780</t>
  </si>
  <si>
    <t>C2800</t>
  </si>
  <si>
    <t>Net cash from operating activities continuing operations</t>
  </si>
  <si>
    <t>C2820</t>
  </si>
  <si>
    <t>Net cash from operating activities discontinued operations</t>
  </si>
  <si>
    <t>C2840</t>
  </si>
  <si>
    <t>Total net cash from operating activities</t>
  </si>
  <si>
    <t>C2860</t>
  </si>
  <si>
    <t>C2880</t>
  </si>
  <si>
    <t>Cash flow from investing activities</t>
  </si>
  <si>
    <t>Capital expenditures</t>
  </si>
  <si>
    <t>Acquisition of shares</t>
  </si>
  <si>
    <t>Proceeds from sales of fixed assets</t>
  </si>
  <si>
    <t>Proceeds from sales of shares</t>
  </si>
  <si>
    <t>Change in other investments</t>
  </si>
  <si>
    <t>Net cash used in investing activities continuing operations</t>
  </si>
  <si>
    <t>Net cash used in investing activities discontinued operations</t>
  </si>
  <si>
    <t>Total net cash used in investing activities</t>
  </si>
  <si>
    <t>Cash flow before financing activities</t>
  </si>
  <si>
    <t>Cash flow from financing activities</t>
  </si>
  <si>
    <t>Net change in loans</t>
  </si>
  <si>
    <t>Dividends paid to the Company´s equity holders</t>
  </si>
  <si>
    <t>C3180</t>
  </si>
  <si>
    <t>Other financial items</t>
  </si>
  <si>
    <t>C3200</t>
  </si>
  <si>
    <t>Net cash used in financing activities continuing operations</t>
  </si>
  <si>
    <t>C3220</t>
  </si>
  <si>
    <t>Net cash used in financing activities discontinued operations</t>
  </si>
  <si>
    <t>C3240</t>
  </si>
  <si>
    <t>Total net cash used in financing activities</t>
  </si>
  <si>
    <t>C3260</t>
  </si>
  <si>
    <t>C3280</t>
  </si>
  <si>
    <t>Total net increase (+)/decrease (-) in cash and marketable securities</t>
  </si>
  <si>
    <t>C3300</t>
  </si>
  <si>
    <t>Total net increase (+)/decrease (-) in cash, continuing operations</t>
  </si>
  <si>
    <t>AssignableMacro01</t>
  </si>
  <si>
    <t>AssignableMacro02</t>
  </si>
  <si>
    <t>AssignableMacro03</t>
  </si>
  <si>
    <t>AssignableMacro04</t>
  </si>
  <si>
    <t>AssignableMacro05</t>
  </si>
  <si>
    <t>AssignableMacro06</t>
  </si>
  <si>
    <t>AssignableMacro07</t>
  </si>
  <si>
    <t>AssignableMacro08</t>
  </si>
  <si>
    <t>AssignableMacro09</t>
  </si>
  <si>
    <t>AssignableMacro10</t>
  </si>
  <si>
    <t>AssignableMacro11</t>
  </si>
  <si>
    <t>AssignableMacro12</t>
  </si>
  <si>
    <t>AssignableMacro13</t>
  </si>
  <si>
    <t>AssignableMacro14</t>
  </si>
  <si>
    <t>AssignableMacro15</t>
  </si>
  <si>
    <t>AssignableMacro16</t>
  </si>
  <si>
    <t>AssignableMacro17</t>
  </si>
  <si>
    <t>AssignableMacro18</t>
  </si>
  <si>
    <t>AssignableMacro19</t>
  </si>
  <si>
    <t>AssignableMacro20</t>
  </si>
  <si>
    <t>AssignableMacro21</t>
  </si>
  <si>
    <t>AssignableMacro22</t>
  </si>
  <si>
    <t>AssignableMacro23</t>
  </si>
  <si>
    <t>AssignableMacro24</t>
  </si>
  <si>
    <t>AssignableMacro25</t>
  </si>
  <si>
    <t>AssignableMacro26</t>
  </si>
  <si>
    <t>AssignableMacro27</t>
  </si>
  <si>
    <t>AssignableMacro28</t>
  </si>
  <si>
    <t>AssignableMacro29</t>
  </si>
  <si>
    <t>AssignableMacro30</t>
  </si>
  <si>
    <t>AssignableMacro31</t>
  </si>
  <si>
    <t>AssignableMacro32</t>
  </si>
  <si>
    <t>AssignableMacro33</t>
  </si>
  <si>
    <t>AssignableMacro34</t>
  </si>
  <si>
    <t>AssignableMacro35</t>
  </si>
  <si>
    <t>AssignableMacro36</t>
  </si>
  <si>
    <t>AssignableMacro37</t>
  </si>
  <si>
    <t>AssignableMacro38</t>
  </si>
  <si>
    <t>AssignableMacro39</t>
  </si>
  <si>
    <t>AssignableMacro40</t>
  </si>
  <si>
    <t>AssignableMacro41</t>
  </si>
  <si>
    <t>AssignableMacro42</t>
  </si>
  <si>
    <t>AssignableMacro43</t>
  </si>
  <si>
    <t>AssignableMacro44</t>
  </si>
  <si>
    <t>AssignableMacro45</t>
  </si>
  <si>
    <t>AssignableMacro46</t>
  </si>
  <si>
    <t>AssignableMacro47</t>
  </si>
  <si>
    <t>AssignableMacro48</t>
  </si>
  <si>
    <t>AssignableMacro49</t>
  </si>
  <si>
    <t>AssignableMacro50</t>
  </si>
  <si>
    <t>AssignableMacro51</t>
  </si>
  <si>
    <t>AssignableMacro52</t>
  </si>
  <si>
    <t>AssignableMacro53</t>
  </si>
  <si>
    <t>AssignableMacro54</t>
  </si>
  <si>
    <t>AssignableMacro55</t>
  </si>
  <si>
    <t>AssignableMacro56</t>
  </si>
  <si>
    <t>AssignableMacro57</t>
  </si>
  <si>
    <t>AssignableMacro58</t>
  </si>
  <si>
    <t>AssignableMacro59</t>
  </si>
  <si>
    <t>AssignableMacro60</t>
  </si>
  <si>
    <t>AssignableMacro61</t>
  </si>
  <si>
    <t>AssignableMacro62</t>
  </si>
  <si>
    <t>AssignableMacro63</t>
  </si>
  <si>
    <t>AssignableMacro64</t>
  </si>
  <si>
    <t>AssignableMacro65</t>
  </si>
  <si>
    <t>AssignableMacro66</t>
  </si>
  <si>
    <t>AssignableMacro67</t>
  </si>
  <si>
    <t>AssignableMacro68</t>
  </si>
  <si>
    <t>AssignableMacro69</t>
  </si>
  <si>
    <t>AssignableMacro70</t>
  </si>
  <si>
    <t>AssignableMacro71</t>
  </si>
  <si>
    <t>AssignableMacro72</t>
  </si>
  <si>
    <t>AssignableMacro73</t>
  </si>
  <si>
    <t>AssignableMacro74</t>
  </si>
  <si>
    <t>AssignableMacro75</t>
  </si>
  <si>
    <t>AssignableMacro76</t>
  </si>
  <si>
    <t>AssignableMacro77</t>
  </si>
  <si>
    <t>AssignableMacro78</t>
  </si>
  <si>
    <t>AssignableMacro79</t>
  </si>
  <si>
    <t>AssignableMacro80</t>
  </si>
  <si>
    <t>AssignableMacro81</t>
  </si>
  <si>
    <t>AssignableMacro82</t>
  </si>
  <si>
    <t>AssignableMacro83</t>
  </si>
  <si>
    <t>AssignableMacro84</t>
  </si>
  <si>
    <t>AssignableMacro85</t>
  </si>
  <si>
    <t>AssignableMacro86</t>
  </si>
  <si>
    <t>AssignableMacro87</t>
  </si>
  <si>
    <t>AssignableMacro88</t>
  </si>
  <si>
    <t>AssignableMacro89</t>
  </si>
  <si>
    <t>AssignableMacro90</t>
  </si>
  <si>
    <t>AssignableMacro91</t>
  </si>
  <si>
    <t>AssignableMacro92</t>
  </si>
  <si>
    <t>AssignableMacro93</t>
  </si>
  <si>
    <t>AssignableMacro94</t>
  </si>
  <si>
    <t>AssignableMacro95</t>
  </si>
  <si>
    <t>AssignableMacro96</t>
  </si>
  <si>
    <t>AssignableMacro97</t>
  </si>
  <si>
    <t>AssignableMacro98</t>
  </si>
  <si>
    <t>AssignableMacro99</t>
  </si>
  <si>
    <t>In sheet 1</t>
  </si>
  <si>
    <t>Break-even undo</t>
  </si>
  <si>
    <t>DemoVersion</t>
  </si>
  <si>
    <t>BalDepr1</t>
  </si>
  <si>
    <t>BalDeprDD</t>
  </si>
  <si>
    <t>GWtypeDD</t>
  </si>
  <si>
    <t>Files (diff./cons.)</t>
  </si>
  <si>
    <t>Ratio: "*" or "/"</t>
  </si>
  <si>
    <t>Month/Year</t>
  </si>
  <si>
    <t>Rate</t>
  </si>
  <si>
    <t>FilteredLanguages</t>
  </si>
  <si>
    <t>FileVersion:</t>
  </si>
  <si>
    <t>CellAddress</t>
  </si>
  <si>
    <t>ExampleFile</t>
  </si>
  <si>
    <t>Compilation</t>
  </si>
  <si>
    <t>Sheetindex</t>
  </si>
  <si>
    <t>DetailLevels</t>
  </si>
  <si>
    <t>DetailLevelSheet</t>
  </si>
  <si>
    <t>BalDepr2</t>
  </si>
  <si>
    <t>OneOrManyPeriod 1=one, 2=many</t>
  </si>
  <si>
    <t>Language:</t>
  </si>
  <si>
    <t>FormulaR1C1</t>
  </si>
  <si>
    <t>GWtype</t>
  </si>
  <si>
    <t>FileType:</t>
  </si>
  <si>
    <t>ScrollRow</t>
  </si>
  <si>
    <t>BalDepr3</t>
  </si>
  <si>
    <t>FileLocked (Locked=1,UnLocked=0)</t>
  </si>
  <si>
    <t>(0=inv.file, 1=diff.file, 2=cons.)</t>
  </si>
  <si>
    <t>Value</t>
  </si>
  <si>
    <t>IFRSCumulative</t>
  </si>
  <si>
    <t>(source files, see P2-&gt;)</t>
  </si>
  <si>
    <t>WACC parameters</t>
  </si>
  <si>
    <t>Periodization (1=fin.years, 2=longest common period)</t>
  </si>
  <si>
    <t>InvOrAcq</t>
  </si>
  <si>
    <t>WACCCostOfDebt</t>
  </si>
  <si>
    <t>ShowConclusions</t>
  </si>
  <si>
    <t>IncVar1</t>
  </si>
  <si>
    <t>IncVar2</t>
  </si>
  <si>
    <t>WACCTaxRatio</t>
  </si>
  <si>
    <t>...</t>
  </si>
  <si>
    <t>WACCDebt</t>
  </si>
  <si>
    <t>ApplyDetailLevelTo</t>
  </si>
  <si>
    <t>PrintMode</t>
  </si>
  <si>
    <t>WACCTotalCapital</t>
  </si>
  <si>
    <t>WACCReturnOnEquity</t>
  </si>
  <si>
    <t>AcqDebtTime</t>
  </si>
  <si>
    <t>AFactorList2</t>
  </si>
  <si>
    <t>WACCEquity</t>
  </si>
  <si>
    <t>Non-ccy IDs</t>
  </si>
  <si>
    <t>CorrDebtResidual</t>
  </si>
  <si>
    <t>Added in 334</t>
  </si>
  <si>
    <t>AFactor</t>
  </si>
  <si>
    <t>FinYearRIndex</t>
  </si>
  <si>
    <t>NABase</t>
  </si>
  <si>
    <t>AcqDebtRate</t>
  </si>
  <si>
    <t>InvOpenBalance</t>
  </si>
  <si>
    <t>InvFirstDepreciation</t>
  </si>
  <si>
    <t>1=exp. alloc.</t>
  </si>
  <si>
    <t>1=carry over</t>
  </si>
  <si>
    <t>Carry-over</t>
  </si>
  <si>
    <t>Beginning</t>
  </si>
  <si>
    <t>AFactorList</t>
  </si>
  <si>
    <t>RonaBAT</t>
  </si>
  <si>
    <t>Index</t>
  </si>
  <si>
    <t>NoOfMonths</t>
  </si>
  <si>
    <t>0=not</t>
  </si>
  <si>
    <t>col.index</t>
  </si>
  <si>
    <t>end of month</t>
  </si>
  <si>
    <t>FinYearR</t>
  </si>
  <si>
    <t>EvaBAT</t>
  </si>
  <si>
    <t>BadwillOK</t>
  </si>
  <si>
    <t>GWTime</t>
  </si>
  <si>
    <t>ConnectionFeesInUse</t>
  </si>
  <si>
    <t>BalCheck</t>
  </si>
  <si>
    <t>AFactor2</t>
  </si>
  <si>
    <t>ColHeadersR/2</t>
  </si>
  <si>
    <t>FinYearsR</t>
  </si>
  <si>
    <t>FinYearsNeg</t>
  </si>
  <si>
    <t>FinYearsPos</t>
  </si>
  <si>
    <t>RonaCG</t>
  </si>
  <si>
    <t>EvaCG</t>
  </si>
  <si>
    <t>ResultRonaMonths</t>
  </si>
  <si>
    <t>DontCompound</t>
  </si>
  <si>
    <t>CalcPoint</t>
  </si>
  <si>
    <t>ResultEVAMonths</t>
  </si>
  <si>
    <t>CalcPointPB</t>
  </si>
  <si>
    <t>DontCompoundPB</t>
  </si>
  <si>
    <t>WACC</t>
  </si>
  <si>
    <t>AltCalcPointPB</t>
  </si>
  <si>
    <t>VariableRate</t>
  </si>
  <si>
    <t>NoZeroCol</t>
  </si>
  <si>
    <t>WACCPreTax</t>
  </si>
  <si>
    <t>NoResCol</t>
  </si>
  <si>
    <t>VariableRateEquity</t>
  </si>
  <si>
    <t>IFRSallocDD</t>
  </si>
  <si>
    <t>IFRSDepr01-13: First depreciation set as default only!</t>
  </si>
  <si>
    <t>WACCPreTaxMonth</t>
  </si>
  <si>
    <t>VariableRateAllowed</t>
  </si>
  <si>
    <t>BalDepr01</t>
  </si>
  <si>
    <t>IFRSAlloc01</t>
  </si>
  <si>
    <t>BalDepr02</t>
  </si>
  <si>
    <t>IFRSAlloc02</t>
  </si>
  <si>
    <t>PeriodType</t>
  </si>
  <si>
    <t>IFRSSheetInUse</t>
  </si>
  <si>
    <t>BalDepr03</t>
  </si>
  <si>
    <t>IFRSAlloc03</t>
  </si>
  <si>
    <t>EbitdaIndex</t>
  </si>
  <si>
    <t>BalDepr04</t>
  </si>
  <si>
    <t>IFRSAlloc04</t>
  </si>
  <si>
    <t>IFRSKeyFigures</t>
  </si>
  <si>
    <t>BalDepr05</t>
  </si>
  <si>
    <t>IFRSAlloc05</t>
  </si>
  <si>
    <t>FinYearsH</t>
  </si>
  <si>
    <t>DCVAAdjust</t>
  </si>
  <si>
    <t>BalDepr06</t>
  </si>
  <si>
    <t>IFRSAlloc06</t>
  </si>
  <si>
    <t>DCVAResidual</t>
  </si>
  <si>
    <t>CalculatedDepreciation</t>
  </si>
  <si>
    <t>BalDepr07</t>
  </si>
  <si>
    <t>IFRSAlloc07</t>
  </si>
  <si>
    <t>NetDebtOption</t>
  </si>
  <si>
    <t>BalDepr13</t>
  </si>
  <si>
    <t>IFRSAlloc13</t>
  </si>
  <si>
    <t>UsePerpetuity</t>
  </si>
  <si>
    <t>CreatedWithProgVersion</t>
  </si>
  <si>
    <t>BalDepr08</t>
  </si>
  <si>
    <t>IFRSAlloc08</t>
  </si>
  <si>
    <t>DcvaCG</t>
  </si>
  <si>
    <t>d</t>
  </si>
  <si>
    <t>BalDepr09</t>
  </si>
  <si>
    <t>IFRSAlloc09</t>
  </si>
  <si>
    <t>AdjustDCVAwNetDebt</t>
  </si>
  <si>
    <t>InvCallerRowCodes</t>
  </si>
  <si>
    <t>BalDepr10</t>
  </si>
  <si>
    <t>IFRSAlloc10</t>
  </si>
  <si>
    <t>Use in new file</t>
  </si>
  <si>
    <t>BalDepr11</t>
  </si>
  <si>
    <t>IFRSAlloc11</t>
  </si>
  <si>
    <t>PerpetuityIndex</t>
  </si>
  <si>
    <t>BalDepr12</t>
  </si>
  <si>
    <t>IFRSAlloc12</t>
  </si>
  <si>
    <t>PerpetuityYear</t>
  </si>
  <si>
    <t>Defaults</t>
  </si>
  <si>
    <t>PerpetuityEnter</t>
  </si>
  <si>
    <t>Analysis01Ratio01</t>
  </si>
  <si>
    <t>FinYearRIndex01</t>
  </si>
  <si>
    <t>RatioRows</t>
  </si>
  <si>
    <t>PerpetuityGrowing</t>
  </si>
  <si>
    <t>Analysis01Ratio02</t>
  </si>
  <si>
    <t>FinYearRIndex02</t>
  </si>
  <si>
    <t>FCFEinUse</t>
  </si>
  <si>
    <t>Analysis01Ratio03</t>
  </si>
  <si>
    <t>FinYearRIndex03</t>
  </si>
  <si>
    <t>PerpetuityIndexEquity</t>
  </si>
  <si>
    <t>Analysis01Ratio04</t>
  </si>
  <si>
    <t>FinYearRIndex04</t>
  </si>
  <si>
    <t>PerpetuityYearEquity</t>
  </si>
  <si>
    <t>Analysis01Ratio05</t>
  </si>
  <si>
    <t>FinYearRIndex05</t>
  </si>
  <si>
    <t>PerpetuityEnterEquity</t>
  </si>
  <si>
    <t>Analysis01Ratio06</t>
  </si>
  <si>
    <t>FinYearRIndex06</t>
  </si>
  <si>
    <t>PerpetuityGrowingEquity</t>
  </si>
  <si>
    <t>Analysis02Ratio01</t>
  </si>
  <si>
    <t>FinYearR01</t>
  </si>
  <si>
    <t>LoanEnterOrProFin</t>
  </si>
  <si>
    <t>Analysis02Ratio02</t>
  </si>
  <si>
    <t>FinYearR02</t>
  </si>
  <si>
    <t>AcqEquityCosts</t>
  </si>
  <si>
    <t>Analysis02Ratio03</t>
  </si>
  <si>
    <t>FinYearR03</t>
  </si>
  <si>
    <t>AcqDebtAmount</t>
  </si>
  <si>
    <t>Analysis02Ratio04</t>
  </si>
  <si>
    <t>FinYearR04</t>
  </si>
  <si>
    <t>UseCalculatedTax</t>
  </si>
  <si>
    <t>Analysis02Ratio05</t>
  </si>
  <si>
    <t>FinYearR05</t>
  </si>
  <si>
    <t>ValueInUseWithTax</t>
  </si>
  <si>
    <t>Analysis02Ratio06</t>
  </si>
  <si>
    <t>FinYearR06</t>
  </si>
  <si>
    <t>InclFinTax</t>
  </si>
  <si>
    <t>Analysis03Ratio01</t>
  </si>
  <si>
    <t>FinYearCol01</t>
  </si>
  <si>
    <t>InclPosTax</t>
  </si>
  <si>
    <t>Analysis03Ratio02</t>
  </si>
  <si>
    <t>FinYearCol02</t>
  </si>
  <si>
    <t>AutoManualTax</t>
  </si>
  <si>
    <t>Analysis03Ratio03</t>
  </si>
  <si>
    <t>FinYearCol03</t>
  </si>
  <si>
    <t>GoodwillDepreciationTax</t>
  </si>
  <si>
    <t>Analysis03Ratio04</t>
  </si>
  <si>
    <t>FinYearCol04</t>
  </si>
  <si>
    <t>DiscountFactorAnalysisHidden</t>
  </si>
  <si>
    <t>No</t>
  </si>
  <si>
    <t>Analysis03Ratio05</t>
  </si>
  <si>
    <t>FinYearCol05</t>
  </si>
  <si>
    <t>TotalInvestmentAnalysisHidden</t>
  </si>
  <si>
    <t>Analysis03Ratio06</t>
  </si>
  <si>
    <t>FinYearCol06</t>
  </si>
  <si>
    <t>IncomeAnalysisHidden</t>
  </si>
  <si>
    <t>Analysis04Ratio01</t>
  </si>
  <si>
    <t>VariableCostAnalysisHidden</t>
  </si>
  <si>
    <t>Analysis04Ratio02</t>
  </si>
  <si>
    <t>FixedCostAnalysisHidden</t>
  </si>
  <si>
    <t>Analysis04Ratio03</t>
  </si>
  <si>
    <t>IncomeVariableAnalysisHidden</t>
  </si>
  <si>
    <t>Analysis04Ratio04</t>
  </si>
  <si>
    <t>AcqEquity</t>
  </si>
  <si>
    <t>Analysis04Ratio05</t>
  </si>
  <si>
    <t>AcqMotherTax</t>
  </si>
  <si>
    <t>Analysis04Ratio06</t>
  </si>
  <si>
    <t>AcqMotherTaxInUse</t>
  </si>
  <si>
    <t>Analysis05Ratio01</t>
  </si>
  <si>
    <t>PerpetuityLimitation</t>
  </si>
  <si>
    <t>Analysis05Ratio02</t>
  </si>
  <si>
    <t>PerpetuityLimitationEquity</t>
  </si>
  <si>
    <t>Analysis05Ratio03</t>
  </si>
  <si>
    <t>ImpairmentWorkingCapital</t>
  </si>
  <si>
    <t>Analysis05Ratio04</t>
  </si>
  <si>
    <t>ImpairmentFinancialAssets</t>
  </si>
  <si>
    <t>Analysis05Ratio05</t>
  </si>
  <si>
    <t>CapFinOnAsset</t>
  </si>
  <si>
    <t>Analysis05Ratio06</t>
  </si>
  <si>
    <t>CapFinPeriod</t>
  </si>
  <si>
    <t>Analysis06Ratio01</t>
  </si>
  <si>
    <t>YearlyIRR</t>
  </si>
  <si>
    <t>Analysis06Ratio02</t>
  </si>
  <si>
    <t>IRR:</t>
  </si>
  <si>
    <t>Analysis06Ratio03</t>
  </si>
  <si>
    <t>Analysis06Ratio04</t>
  </si>
  <si>
    <t>Analysis06Ratio05</t>
  </si>
  <si>
    <t>PerpetuityLimitList</t>
  </si>
  <si>
    <t>PerpText</t>
  </si>
  <si>
    <t>PerpetuityLimited</t>
  </si>
  <si>
    <t>PerpetuityLimitedEquity</t>
  </si>
  <si>
    <t>Analysis06Ratio06</t>
  </si>
  <si>
    <t>DistributeStore</t>
  </si>
  <si>
    <t>Code</t>
  </si>
  <si>
    <t>Adjust</t>
  </si>
  <si>
    <t>CopyDist</t>
  </si>
  <si>
    <t>ValueFormula</t>
  </si>
  <si>
    <t>MinIRR</t>
  </si>
  <si>
    <t>MaxIRR</t>
  </si>
  <si>
    <t>IRR to equity:</t>
  </si>
  <si>
    <t>MinIRREquity</t>
  </si>
  <si>
    <t>MaxIRREquity</t>
  </si>
  <si>
    <t>IRR before tax:</t>
  </si>
  <si>
    <t>MinIRRbt</t>
  </si>
  <si>
    <t>MaxIRRbt</t>
  </si>
  <si>
    <t>IRR to equity before tax:</t>
  </si>
  <si>
    <t>MinIRREquitybt</t>
  </si>
  <si>
    <t>MaxIRREquitybt</t>
  </si>
  <si>
    <t>CashFlowPeriods</t>
  </si>
  <si>
    <t>IrrCashFlow</t>
  </si>
  <si>
    <t>TaxCashFlow</t>
  </si>
  <si>
    <t>DebtCashFlow</t>
  </si>
  <si>
    <t>PreTaxCashFlow</t>
  </si>
  <si>
    <t>IrrCashFlowEquity</t>
  </si>
  <si>
    <t>MirrdCashFlow</t>
  </si>
  <si>
    <t>PreTaxCashFlowEquity</t>
  </si>
  <si>
    <t>C1121</t>
  </si>
  <si>
    <t>C1122</t>
  </si>
  <si>
    <t>C1123</t>
  </si>
  <si>
    <t>Eng</t>
  </si>
  <si>
    <t>Assignable macros</t>
  </si>
  <si>
    <t>Macro to run in XXX</t>
  </si>
  <si>
    <t>macro workbook</t>
  </si>
  <si>
    <t>perpetual</t>
  </si>
  <si>
    <t>Macro workbook not specified.</t>
  </si>
  <si>
    <t>Macro not specified.</t>
  </si>
  <si>
    <t>Allocated overvalue</t>
  </si>
  <si>
    <t>Fin</t>
  </si>
  <si>
    <t>Liitettävät makrot</t>
  </si>
  <si>
    <t>Makro joka ajetaan tiedostossa XXX</t>
  </si>
  <si>
    <t>makrotiedosto</t>
  </si>
  <si>
    <t>ikuinen</t>
  </si>
  <si>
    <t>Makrotiedosto puuttuu.</t>
  </si>
  <si>
    <t>Makro puuttuu.</t>
  </si>
  <si>
    <t>Kohdistettu yliarvo</t>
  </si>
  <si>
    <t>Swe</t>
  </si>
  <si>
    <t>Anslutbara makron</t>
  </si>
  <si>
    <t>Makro som körs i XXX</t>
  </si>
  <si>
    <t>makrofil</t>
  </si>
  <si>
    <t>evig</t>
  </si>
  <si>
    <t>Makrofil fattas.</t>
  </si>
  <si>
    <t>Makro fattas.</t>
  </si>
  <si>
    <t>Allokerat övervärde</t>
  </si>
  <si>
    <t>Ger</t>
  </si>
  <si>
    <t>Zuweisbare Makros</t>
  </si>
  <si>
    <t>In Datei XXX anzuwendendes Makro</t>
  </si>
  <si>
    <t>Makrodatei</t>
  </si>
  <si>
    <t>ewig</t>
  </si>
  <si>
    <t>Makrodatei fehlt.</t>
  </si>
  <si>
    <t>Makro fehlt.</t>
  </si>
  <si>
    <t>Verteilter Überwert</t>
  </si>
  <si>
    <t>Pol</t>
  </si>
  <si>
    <t>Przypisane makra</t>
  </si>
  <si>
    <t>Makro do uruchomienia w: XXX</t>
  </si>
  <si>
    <t>plik z makrami</t>
  </si>
  <si>
    <t>wieczny</t>
  </si>
  <si>
    <t>Alokowane przeszacowanie</t>
  </si>
  <si>
    <t>Spa</t>
  </si>
  <si>
    <t>Macros asignables</t>
  </si>
  <si>
    <t>Macro para ejecutar en XXX</t>
  </si>
  <si>
    <t>macro de cuaderno de cálculo</t>
  </si>
  <si>
    <t>eterna</t>
  </si>
  <si>
    <t>Carpetas macro no especificadas.</t>
  </si>
  <si>
    <t>Macro no especificado.</t>
  </si>
  <si>
    <t>Sobrevalor asignado</t>
  </si>
  <si>
    <t>Rus</t>
  </si>
  <si>
    <t>Устанавливаемый макрос</t>
  </si>
  <si>
    <t>Выполнить макрос в XXX</t>
  </si>
  <si>
    <t>Файл макроса</t>
  </si>
  <si>
    <t>Бессрочный</t>
  </si>
  <si>
    <t>Файл макроса не указан.</t>
  </si>
  <si>
    <t>Макрос не указан.</t>
  </si>
  <si>
    <t>Распределенная переоценка</t>
  </si>
  <si>
    <t>C1111</t>
  </si>
  <si>
    <t>C1112</t>
  </si>
  <si>
    <t>C1113</t>
  </si>
  <si>
    <t>C1114</t>
  </si>
  <si>
    <t>Straight line</t>
  </si>
  <si>
    <t>Declining bal.</t>
  </si>
  <si>
    <t>Enter</t>
  </si>
  <si>
    <t>Invest for Excel must be open for this function to work. Please open Invest for Excel.</t>
  </si>
  <si>
    <t>Residual</t>
  </si>
  <si>
    <t>IFRS 3</t>
  </si>
  <si>
    <t>N GAAP</t>
  </si>
  <si>
    <t>Tasapoistot</t>
  </si>
  <si>
    <t>Menojäänn.</t>
  </si>
  <si>
    <t>Syötä</t>
  </si>
  <si>
    <t>Tämä toiminto vaatii että Invest for Excel-ohjelma on auki. Ole hyvä ja avaa Invest for Excel.</t>
  </si>
  <si>
    <t>Jäännös</t>
  </si>
  <si>
    <t>Poistot</t>
  </si>
  <si>
    <t>Degressiv</t>
  </si>
  <si>
    <t>Mata in</t>
  </si>
  <si>
    <t>Denna funktion kräver att programmet Invest for Excel är startat. Var god och starta Invest for Excel.</t>
  </si>
  <si>
    <t>Rest</t>
  </si>
  <si>
    <t>Avskrivning</t>
  </si>
  <si>
    <t>Linear</t>
  </si>
  <si>
    <t>Eingabe</t>
  </si>
  <si>
    <t>Invest for Excel muss zur Ausfuhrung dieser Funktion aktiv sein. Bitte starten Sie Invest for Excel.</t>
  </si>
  <si>
    <t>Restwert</t>
  </si>
  <si>
    <t>Abschreibung</t>
  </si>
  <si>
    <t>Liniowa</t>
  </si>
  <si>
    <t>Zmniejszające się saldo</t>
  </si>
  <si>
    <t>Wprowadź</t>
  </si>
  <si>
    <t>Invest for Excel musi być otwarty, by użyć tej funkcji. Proszę, otwórz Invest for Excel.</t>
  </si>
  <si>
    <t>Rezydualna</t>
  </si>
  <si>
    <t>Amortyzacja</t>
  </si>
  <si>
    <t>Lineal</t>
  </si>
  <si>
    <t>Saldo decr.</t>
  </si>
  <si>
    <t>Introducir</t>
  </si>
  <si>
    <t>Invest for Excel debe estar abierto para el manejo de esta función. Abra Invest for Excel.</t>
  </si>
  <si>
    <t>Amortización</t>
  </si>
  <si>
    <t>Линейная</t>
  </si>
  <si>
    <t>Метод уменьшающегося остатка</t>
  </si>
  <si>
    <t>Ввести</t>
  </si>
  <si>
    <t>Для работы этой функции необходим Invest for Excel. Пожалуйста, запустите Invest for Excel.</t>
  </si>
  <si>
    <t>Остаток</t>
  </si>
  <si>
    <t>Амортизация</t>
  </si>
  <si>
    <t>МСФО 3</t>
  </si>
  <si>
    <t>Н ГААП</t>
  </si>
  <si>
    <t>C1117</t>
  </si>
  <si>
    <t>C1118</t>
  </si>
  <si>
    <t>C1119</t>
  </si>
  <si>
    <t>Variable</t>
  </si>
  <si>
    <t>Imputed</t>
  </si>
  <si>
    <t>Macro workbook name</t>
  </si>
  <si>
    <t>Term change macro</t>
  </si>
  <si>
    <t>Description (optional)</t>
  </si>
  <si>
    <t>adjusted</t>
  </si>
  <si>
    <t>Muuttuva</t>
  </si>
  <si>
    <t>Laskennallinen</t>
  </si>
  <si>
    <t>Makrotiedoston nimi</t>
  </si>
  <si>
    <t>Tarkasteluaikamakro</t>
  </si>
  <si>
    <t>Kuvaus (valinnainen)</t>
  </si>
  <si>
    <t>oikaistut</t>
  </si>
  <si>
    <t>Verot</t>
  </si>
  <si>
    <t>Varierande</t>
  </si>
  <si>
    <t>Kalkylmässig</t>
  </si>
  <si>
    <t>Makrofilnamn</t>
  </si>
  <si>
    <t>Kalkyltidmakro</t>
  </si>
  <si>
    <t>Beskrivning (valfri)</t>
  </si>
  <si>
    <t>justerade</t>
  </si>
  <si>
    <t>Skatter</t>
  </si>
  <si>
    <t>Variabler</t>
  </si>
  <si>
    <t>Kalkulatorische</t>
  </si>
  <si>
    <t>Makrodatei-Name</t>
  </si>
  <si>
    <t>Planungszeitraum-Makro</t>
  </si>
  <si>
    <t>Beschreibung (optional)</t>
  </si>
  <si>
    <t>korrigiert</t>
  </si>
  <si>
    <t>Steuern</t>
  </si>
  <si>
    <t>Zmienna</t>
  </si>
  <si>
    <t>Kalkulacyjna</t>
  </si>
  <si>
    <t>Nazwa pliku z makrami</t>
  </si>
  <si>
    <t>Makro zmiany okresu kalkulacyjnego</t>
  </si>
  <si>
    <t>Opis (opcjonalnie)</t>
  </si>
  <si>
    <t>skorygowany</t>
  </si>
  <si>
    <t>Podatek dochodowy</t>
  </si>
  <si>
    <t>Imputada</t>
  </si>
  <si>
    <t>Nombre macro de cuaderno de cálculo</t>
  </si>
  <si>
    <t>Macro de cambio de término</t>
  </si>
  <si>
    <t>Descripción (opcional)</t>
  </si>
  <si>
    <t>ajustado</t>
  </si>
  <si>
    <t>Impuesto de la renta</t>
  </si>
  <si>
    <t>Переменная</t>
  </si>
  <si>
    <t>Вмененная</t>
  </si>
  <si>
    <t>Имя файла макроса</t>
  </si>
  <si>
    <t>Макрос смены срока</t>
  </si>
  <si>
    <t>Описание (Необязательный)</t>
  </si>
  <si>
    <t>скорректированный</t>
  </si>
  <si>
    <t>Налог на прибыль</t>
  </si>
  <si>
    <t>average</t>
  </si>
  <si>
    <t>opening balance</t>
  </si>
  <si>
    <t>closing balance</t>
  </si>
  <si>
    <t>Net assets</t>
  </si>
  <si>
    <t>Capital charge on net assets</t>
  </si>
  <si>
    <t>Group Net assets</t>
  </si>
  <si>
    <t>Group Capital charge on net assets</t>
  </si>
  <si>
    <t>keskimäärin</t>
  </si>
  <si>
    <t>avaava tase</t>
  </si>
  <si>
    <t>kauden lopussa</t>
  </si>
  <si>
    <t>Sitoutunut pääoma</t>
  </si>
  <si>
    <t>Pääomakustannus sijoitetulle pääomalle</t>
  </si>
  <si>
    <t>Konserni: Sitoutunut pääoma</t>
  </si>
  <si>
    <t>Konserni: Pääomakustannus sijoitetulle pääomalle</t>
  </si>
  <si>
    <t>i genomsnitt</t>
  </si>
  <si>
    <t>ingående balans</t>
  </si>
  <si>
    <t>vid periodens slut</t>
  </si>
  <si>
    <t>Nettokapital</t>
  </si>
  <si>
    <t>Kapitalkostnad på nettokapital</t>
  </si>
  <si>
    <t>Koncern: Nettokapital</t>
  </si>
  <si>
    <t>Koncern: Kapitalkostnad på nettokapital</t>
  </si>
  <si>
    <t>durchschnittlich</t>
  </si>
  <si>
    <t>Eröffnungsbilanz</t>
  </si>
  <si>
    <t>Ende des Geschäftsjahres</t>
  </si>
  <si>
    <t>Gebundenes Kapital</t>
  </si>
  <si>
    <t>Kapitalkosten für gebundenes Kapital</t>
  </si>
  <si>
    <t>Konzern: gebundenes Kapital</t>
  </si>
  <si>
    <t>Konzern: Kapitalkosten für gebundenes Kapital</t>
  </si>
  <si>
    <t>średni stan</t>
  </si>
  <si>
    <t>bilans otwarcia</t>
  </si>
  <si>
    <t>bilans zamknięcia</t>
  </si>
  <si>
    <t>Aktywa netto</t>
  </si>
  <si>
    <t>Koszt kapitału (od wartości aktywów netto)</t>
  </si>
  <si>
    <t>Aktywa netto Grupy</t>
  </si>
  <si>
    <t>Koszt kapitału Grupy (od wartości aktywów netto)</t>
  </si>
  <si>
    <t>media</t>
  </si>
  <si>
    <t>de apertura</t>
  </si>
  <si>
    <t>al final del período</t>
  </si>
  <si>
    <t>Activos netos</t>
  </si>
  <si>
    <t>Cargas de capital en activos netos</t>
  </si>
  <si>
    <t>Activos netos del grupo</t>
  </si>
  <si>
    <t>Cargas de capital en activos netos del grupo</t>
  </si>
  <si>
    <t>средняя стоимость</t>
  </si>
  <si>
    <t>начальное сальдо</t>
  </si>
  <si>
    <t>конечное сальдо</t>
  </si>
  <si>
    <t>Чистые активы</t>
  </si>
  <si>
    <t>Начисления на чистые активы</t>
  </si>
  <si>
    <t>Чистые активы Группы</t>
  </si>
  <si>
    <t>Начисления на чистые активы Группы</t>
  </si>
  <si>
    <t xml:space="preserve">  P E R U S T I E D O T </t>
  </si>
  <si>
    <t>vuosi</t>
  </si>
  <si>
    <t xml:space="preserve">  Projektikuvaus</t>
  </si>
  <si>
    <t>kk</t>
  </si>
  <si>
    <t xml:space="preserve">  Laskentavaihe</t>
  </si>
  <si>
    <t>Yhteensä</t>
  </si>
  <si>
    <t xml:space="preserve">  Kuvaus</t>
  </si>
  <si>
    <t>vuotta</t>
  </si>
  <si>
    <t xml:space="preserve">  Tarkasteluaika, vuosia</t>
  </si>
  <si>
    <t xml:space="preserve">  + kuukautta</t>
  </si>
  <si>
    <t xml:space="preserve">  Tarkastelujakson pituus kuukausissa</t>
  </si>
  <si>
    <t xml:space="preserve">  Tarkastelujaksoja</t>
  </si>
  <si>
    <t>(KK/VVVV)</t>
  </si>
  <si>
    <t xml:space="preserve">  Tarkasteluaika alkaa</t>
  </si>
  <si>
    <t xml:space="preserve">  Laskenta-ajankohta</t>
  </si>
  <si>
    <t xml:space="preserve">  Tarkasteluaika päättyy</t>
  </si>
  <si>
    <t>(kauden lopussa)</t>
  </si>
  <si>
    <t xml:space="preserve">  Rahayksikkö (1/1000/1000000)</t>
  </si>
  <si>
    <t xml:space="preserve">  Valuutta</t>
  </si>
  <si>
    <t xml:space="preserve">  Laskentakorko (vuosikorko)</t>
  </si>
  <si>
    <t>Per kuukausi</t>
  </si>
  <si>
    <t xml:space="preserve">  Per kausi</t>
  </si>
  <si>
    <t xml:space="preserve">  Oman pääoman tuottovaatimus (vuosikorko)</t>
  </si>
  <si>
    <t xml:space="preserve">  Tulovero-%</t>
  </si>
  <si>
    <t xml:space="preserve"> Y H T E Y S T I E D O T </t>
  </si>
  <si>
    <t xml:space="preserve">  Yhteyshenkilö</t>
  </si>
  <si>
    <t xml:space="preserve">  Yhteystiedot</t>
  </si>
  <si>
    <t xml:space="preserve">  Päivämäärä</t>
  </si>
  <si>
    <t xml:space="preserve">  Kommentteja</t>
  </si>
  <si>
    <t xml:space="preserve">  Laskelmatiedosto</t>
  </si>
  <si>
    <t xml:space="preserve">  G R U N D D A T A</t>
  </si>
  <si>
    <t>år</t>
  </si>
  <si>
    <t xml:space="preserve">  Projektbeskrivning</t>
  </si>
  <si>
    <t>månad</t>
  </si>
  <si>
    <t xml:space="preserve">  Kalkylfas</t>
  </si>
  <si>
    <t>Totalt</t>
  </si>
  <si>
    <t xml:space="preserve">  Beskrivning</t>
  </si>
  <si>
    <t xml:space="preserve">  Kalkyltid, år</t>
  </si>
  <si>
    <t>månader</t>
  </si>
  <si>
    <t xml:space="preserve">  + månader</t>
  </si>
  <si>
    <t xml:space="preserve">  Periodlängd i månader</t>
  </si>
  <si>
    <t xml:space="preserve">  Antal perioder</t>
  </si>
  <si>
    <t>(MM/ÅÅÅÅ)</t>
  </si>
  <si>
    <t xml:space="preserve">  Kalkyltiden börjar</t>
  </si>
  <si>
    <t xml:space="preserve">  Kalkyltidpunkt</t>
  </si>
  <si>
    <t xml:space="preserve">  Kalkyltiden slutar</t>
  </si>
  <si>
    <t>(i slutet av perioden)</t>
  </si>
  <si>
    <t xml:space="preserve">  Penningenhet (1/1000/1000000)</t>
  </si>
  <si>
    <t xml:space="preserve">  Valuta</t>
  </si>
  <si>
    <t xml:space="preserve">  Kalkylränta (årlig)</t>
  </si>
  <si>
    <t>Per månad</t>
  </si>
  <si>
    <t xml:space="preserve">  Per period</t>
  </si>
  <si>
    <t xml:space="preserve">  Avkastningskrav på eget kapital (årlig)</t>
  </si>
  <si>
    <t xml:space="preserve">  Inkomstskatte-%</t>
  </si>
  <si>
    <t xml:space="preserve"> K O N T A K T U P P G I F T E R</t>
  </si>
  <si>
    <t xml:space="preserve">  Kontaktperson</t>
  </si>
  <si>
    <t xml:space="preserve">  Kontaktuppgifter</t>
  </si>
  <si>
    <t xml:space="preserve">  Datum</t>
  </si>
  <si>
    <t xml:space="preserve">  Notera</t>
  </si>
  <si>
    <t xml:space="preserve">  Kalkylfil</t>
  </si>
  <si>
    <t xml:space="preserve">  G R U N D D A T E N</t>
  </si>
  <si>
    <t>Jahr</t>
  </si>
  <si>
    <t xml:space="preserve">  Projektbeschreibung</t>
  </si>
  <si>
    <t>Monat</t>
  </si>
  <si>
    <t>Insgesamt</t>
  </si>
  <si>
    <t xml:space="preserve">  Beschreibung</t>
  </si>
  <si>
    <t>Jahre</t>
  </si>
  <si>
    <t xml:space="preserve">  Planungszeitraum, Jahre</t>
  </si>
  <si>
    <t>Monate</t>
  </si>
  <si>
    <t xml:space="preserve">  + Monate</t>
  </si>
  <si>
    <t xml:space="preserve">  Periodenlänge in Monaten</t>
  </si>
  <si>
    <t xml:space="preserve">  Anzahl Perioden</t>
  </si>
  <si>
    <t>(MM/JJJJ)</t>
  </si>
  <si>
    <t xml:space="preserve">  Beginn des Planungszeitraums</t>
  </si>
  <si>
    <t xml:space="preserve">  Kalkulationszeitpunkt</t>
  </si>
  <si>
    <t xml:space="preserve">  Ende des Planungzeitraums</t>
  </si>
  <si>
    <t>(zum Ende des Monats)</t>
  </si>
  <si>
    <t xml:space="preserve">  Werteinheit (1/1000/1000000)</t>
  </si>
  <si>
    <t xml:space="preserve">  Währung</t>
  </si>
  <si>
    <t xml:space="preserve">  Kalkulationszinsfuß (pro Jahr)</t>
  </si>
  <si>
    <t>pro Monat</t>
  </si>
  <si>
    <t xml:space="preserve">  pro Periode</t>
  </si>
  <si>
    <t xml:space="preserve">  Eigenkapitalkosten (Pro Jahr)</t>
  </si>
  <si>
    <t xml:space="preserve">  K O N T A K T D A T E N</t>
  </si>
  <si>
    <t xml:space="preserve">  Kontaktdaten</t>
  </si>
  <si>
    <t xml:space="preserve">  Kommentare</t>
  </si>
  <si>
    <t xml:space="preserve">  Berechnungsdatei</t>
  </si>
  <si>
    <t>W A R T O Ś C I  B A Z O W E</t>
  </si>
  <si>
    <t>rok</t>
  </si>
  <si>
    <t xml:space="preserve">  Opis projektu</t>
  </si>
  <si>
    <t>miesiąc</t>
  </si>
  <si>
    <t xml:space="preserve">  Okres obliczeniowy</t>
  </si>
  <si>
    <t>Razem</t>
  </si>
  <si>
    <t xml:space="preserve">  Opis</t>
  </si>
  <si>
    <t>lat(a)</t>
  </si>
  <si>
    <t xml:space="preserve">  Okres obliczeniowy (w latach)</t>
  </si>
  <si>
    <t>mies.</t>
  </si>
  <si>
    <t xml:space="preserve">  + liczba miesięcy</t>
  </si>
  <si>
    <t xml:space="preserve">  Długość okresu (w miesiącach)</t>
  </si>
  <si>
    <t xml:space="preserve">  Liczba kolumn</t>
  </si>
  <si>
    <t>(MM/RRRR)</t>
  </si>
  <si>
    <t xml:space="preserve">  Początek okresu obliczeniowego</t>
  </si>
  <si>
    <t xml:space="preserve">  Moment obliczeniowy</t>
  </si>
  <si>
    <t xml:space="preserve">  Koniec okresu obliczeniowego</t>
  </si>
  <si>
    <t>(na końcu okresu)</t>
  </si>
  <si>
    <t xml:space="preserve">  Jednostka (1/1000/1000000)</t>
  </si>
  <si>
    <t xml:space="preserve">  Waluta</t>
  </si>
  <si>
    <t xml:space="preserve">  Stopa dyskontowa (p.a.)</t>
  </si>
  <si>
    <t>na miesiąc</t>
  </si>
  <si>
    <t xml:space="preserve">  Na okres</t>
  </si>
  <si>
    <t xml:space="preserve">  Koszt kapitału własnego (rocznie)</t>
  </si>
  <si>
    <t xml:space="preserve">  Podatek dochodowy (%)</t>
  </si>
  <si>
    <t>D A N E  K O N T A K T O W E</t>
  </si>
  <si>
    <t xml:space="preserve">  Osoba kontaktowa</t>
  </si>
  <si>
    <t xml:space="preserve">  Kontakt</t>
  </si>
  <si>
    <t xml:space="preserve">  Data</t>
  </si>
  <si>
    <t xml:space="preserve">  Uwagi</t>
  </si>
  <si>
    <t xml:space="preserve">  Plik obliczeniowy</t>
  </si>
  <si>
    <t xml:space="preserve">  VALORES BÁSICOS</t>
  </si>
  <si>
    <t>año</t>
  </si>
  <si>
    <t xml:space="preserve">  Descripción de proyecto</t>
  </si>
  <si>
    <t>mes</t>
  </si>
  <si>
    <t xml:space="preserve">  Fase de cálculo</t>
  </si>
  <si>
    <t xml:space="preserve">  Descripción</t>
  </si>
  <si>
    <t>años</t>
  </si>
  <si>
    <t xml:space="preserve">  Plazo de cálculo, años</t>
  </si>
  <si>
    <t>meses</t>
  </si>
  <si>
    <t xml:space="preserve">  + meses</t>
  </si>
  <si>
    <t xml:space="preserve">  Duración de período, meses</t>
  </si>
  <si>
    <t xml:space="preserve">  Número de intervalos</t>
  </si>
  <si>
    <t>(MM/AAAA)</t>
  </si>
  <si>
    <t xml:space="preserve">  El plazo de cálculo empieza</t>
  </si>
  <si>
    <t xml:space="preserve">  Punto de cálculo</t>
  </si>
  <si>
    <t xml:space="preserve">  El plazo de cálculo acaba</t>
  </si>
  <si>
    <t>(al final del período)</t>
  </si>
  <si>
    <t xml:space="preserve">  Cifras (1/1000/1000000)</t>
  </si>
  <si>
    <t xml:space="preserve">  Divisa</t>
  </si>
  <si>
    <t xml:space="preserve">  Tasa de descuento (por año)</t>
  </si>
  <si>
    <t>Por mes</t>
  </si>
  <si>
    <t xml:space="preserve">  Por intervalo</t>
  </si>
  <si>
    <t xml:space="preserve">  Coste de los fondos propios (anual)</t>
  </si>
  <si>
    <t xml:space="preserve">  % de impuesto de la renta</t>
  </si>
  <si>
    <t xml:space="preserve"> INFORMACIÓN DE CONTACTO</t>
  </si>
  <si>
    <t xml:space="preserve">  Persona de contacto</t>
  </si>
  <si>
    <t xml:space="preserve">  Información de contacto</t>
  </si>
  <si>
    <t xml:space="preserve">  Fecha</t>
  </si>
  <si>
    <t xml:space="preserve">  Comentarios</t>
  </si>
  <si>
    <t xml:space="preserve">  Archivo de cálculo</t>
  </si>
  <si>
    <t>О С Н О В Н Ы Е   З Н А Ч Е Н И Я</t>
  </si>
  <si>
    <t>год</t>
  </si>
  <si>
    <t xml:space="preserve">  Описание проекта</t>
  </si>
  <si>
    <t>месяц</t>
  </si>
  <si>
    <t xml:space="preserve">  Этап вычисления</t>
  </si>
  <si>
    <t>Итого</t>
  </si>
  <si>
    <t xml:space="preserve">  Описание</t>
  </si>
  <si>
    <t>гг.</t>
  </si>
  <si>
    <t xml:space="preserve">  Срок вычисления, годы</t>
  </si>
  <si>
    <t>месяцы</t>
  </si>
  <si>
    <t xml:space="preserve">  + месяцы</t>
  </si>
  <si>
    <t xml:space="preserve">  Длина интервала, месяцы</t>
  </si>
  <si>
    <t xml:space="preserve">  Количество интервалов</t>
  </si>
  <si>
    <t xml:space="preserve"> (ММ/ГГГГ)</t>
  </si>
  <si>
    <t xml:space="preserve">  Срок вычисления начинается</t>
  </si>
  <si>
    <t xml:space="preserve">  Точка вычисления</t>
  </si>
  <si>
    <t xml:space="preserve">  Срок вычисления заканчивается</t>
  </si>
  <si>
    <t>(в конце периода)</t>
  </si>
  <si>
    <t xml:space="preserve">  Значения (1/1000/1000000)</t>
  </si>
  <si>
    <t xml:space="preserve">  Валюта</t>
  </si>
  <si>
    <t xml:space="preserve">  Ставка Дисконтирования (годовая)</t>
  </si>
  <si>
    <t>В месяц</t>
  </si>
  <si>
    <t xml:space="preserve">  За интервал</t>
  </si>
  <si>
    <t xml:space="preserve">  Стоимость собственного капитала (в год)</t>
  </si>
  <si>
    <t xml:space="preserve">  Налог на Прибыль %</t>
  </si>
  <si>
    <t>К О Н Т А К Т Н А Я   И Н Ф О Р М А Ц И Я</t>
  </si>
  <si>
    <t xml:space="preserve">  Контактное лицо</t>
  </si>
  <si>
    <t xml:space="preserve">  Контактная информация</t>
  </si>
  <si>
    <t xml:space="preserve">  Дата</t>
  </si>
  <si>
    <t xml:space="preserve">  Комментарии</t>
  </si>
  <si>
    <t xml:space="preserve">  Файл Вычисления</t>
  </si>
  <si>
    <t>ID: Month, Quarter &amp; Fin. year (MMYY)</t>
  </si>
  <si>
    <t>Group goodwill</t>
  </si>
  <si>
    <t>Financing income and expenses, Financing file</t>
  </si>
  <si>
    <t>Change in Appropriations</t>
  </si>
  <si>
    <t>Depreciation in excess of (-) / under (+) imputed</t>
  </si>
  <si>
    <t>Kuukausi</t>
  </si>
  <si>
    <t>Neljännesvuosi</t>
  </si>
  <si>
    <t>Vuosi</t>
  </si>
  <si>
    <t>Vero-%</t>
  </si>
  <si>
    <t>Periodi</t>
  </si>
  <si>
    <t>ID: KK, Neljännesvuosi &amp; Tilikausi (KKVV)</t>
  </si>
  <si>
    <t>Liittymismaksut</t>
  </si>
  <si>
    <t>Kk per jakso</t>
  </si>
  <si>
    <t>Liittymismaksut, lisäys (+) / vähennys (-)</t>
  </si>
  <si>
    <t>INVESTOINNIT (-) / REALISOINNIT (+)</t>
  </si>
  <si>
    <t>Laskennalliset poistot</t>
  </si>
  <si>
    <t>Poisto-%</t>
  </si>
  <si>
    <t>(tasapoisto)</t>
  </si>
  <si>
    <t>Kirjanpitoarvo</t>
  </si>
  <si>
    <t>Laskennallinen kirjanpitoarvo</t>
  </si>
  <si>
    <t>Investoinnit</t>
  </si>
  <si>
    <t>Realisoinnit</t>
  </si>
  <si>
    <t>Myyntivoitot (+) / -tappiot (-)</t>
  </si>
  <si>
    <t>Sisäiset</t>
  </si>
  <si>
    <t>Konserni-investoinnit</t>
  </si>
  <si>
    <t>Konsernirealisoinnit</t>
  </si>
  <si>
    <t>Konsernipoistot</t>
  </si>
  <si>
    <t>Konsernimyyntivoitot (+) / -tappiot (-)</t>
  </si>
  <si>
    <t>Konsernikirjanpitoarvo</t>
  </si>
  <si>
    <t>Liikearvo-laskenta</t>
  </si>
  <si>
    <t>Menetelmä</t>
  </si>
  <si>
    <t>Kauppahinta</t>
  </si>
  <si>
    <t>Omistusosuus, %</t>
  </si>
  <si>
    <t>Osakepääoma</t>
  </si>
  <si>
    <t>Ylikurssirahasto</t>
  </si>
  <si>
    <t>Muu sidottu oma pääoma</t>
  </si>
  <si>
    <t>Edellisten tilikausien voitto</t>
  </si>
  <si>
    <t>Tilikauden voitto (tappio)</t>
  </si>
  <si>
    <t>Poistoero</t>
  </si>
  <si>
    <t>Yliarvo ennen verovelkaa</t>
  </si>
  <si>
    <t>Laskennallinen verovelka</t>
  </si>
  <si>
    <t>Yliarvo</t>
  </si>
  <si>
    <t>Kohdistettu yliarvo ennen verovelkaa</t>
  </si>
  <si>
    <t xml:space="preserve">Kohdistettu erä </t>
  </si>
  <si>
    <t>Poisto</t>
  </si>
  <si>
    <t>Tasearvo</t>
  </si>
  <si>
    <t>Kohdistettu verovelka</t>
  </si>
  <si>
    <t>Kohdistettu yliarvo yhteensä</t>
  </si>
  <si>
    <t>Syntyvä liikearvo</t>
  </si>
  <si>
    <t>Kumulatiivinen poistamaton liikearvo</t>
  </si>
  <si>
    <t>Konserniliikearvo</t>
  </si>
  <si>
    <t>Oman pääoman korjaus</t>
  </si>
  <si>
    <t>Yritysostorahoitus</t>
  </si>
  <si>
    <t>Oma pääoma</t>
  </si>
  <si>
    <t>Korollinen vieras pääoma</t>
  </si>
  <si>
    <t>Lyhennykset</t>
  </si>
  <si>
    <t>Rahoituskulut</t>
  </si>
  <si>
    <t>TULOSLASKELMA</t>
  </si>
  <si>
    <t>Tuotot eriteltynä:</t>
  </si>
  <si>
    <t>Tuotot</t>
  </si>
  <si>
    <t>Muuttuvat kulut</t>
  </si>
  <si>
    <t>Aineet, tarvikkeet ja tavarat</t>
  </si>
  <si>
    <t>Ulkopuoliset palvelut</t>
  </si>
  <si>
    <t>Henkilöstökulut</t>
  </si>
  <si>
    <t>Muut muuttuvat kulut</t>
  </si>
  <si>
    <t>Myyntikate</t>
  </si>
  <si>
    <t>Kiinteät kulut</t>
  </si>
  <si>
    <t>Vuokrat</t>
  </si>
  <si>
    <t>Muut kiinteät kulut</t>
  </si>
  <si>
    <t>Varaukset, lisäys (-) / vähennys (+)</t>
  </si>
  <si>
    <t>EBITDA; Liikevoitto ennen poistoja</t>
  </si>
  <si>
    <t>Liikearvopoistot</t>
  </si>
  <si>
    <t>Muut poistot</t>
  </si>
  <si>
    <t>EBIT; Liikevoitto</t>
  </si>
  <si>
    <t>Rahoitustuotot ja -kulut</t>
  </si>
  <si>
    <t>Rahoitustuotot ja -kulut, Rahoitustiedosto</t>
  </si>
  <si>
    <t>EBT; Tulos rahoituserien jälkeen</t>
  </si>
  <si>
    <t>Satunnaiset tuotot ja kulut</t>
  </si>
  <si>
    <t>Myyntivoitto (-tappio)</t>
  </si>
  <si>
    <t>Muut satunnaiset tuotot (-kulut)</t>
  </si>
  <si>
    <t>Tulos ennen tilinpäätössiirtoja ja veroja</t>
  </si>
  <si>
    <t>Tilinpäätössiirrot, lisäys (-) / vähennys (+)</t>
  </si>
  <si>
    <t>Poistot yli (-) / ali (+) laskennallisten poistojen</t>
  </si>
  <si>
    <t>Välittömät verot</t>
  </si>
  <si>
    <t>Laskennalliset verot</t>
  </si>
  <si>
    <t>Vähemmistöosuudet</t>
  </si>
  <si>
    <t>Kauden voitto (tappio)</t>
  </si>
  <si>
    <t>Investointikohde</t>
  </si>
  <si>
    <t>Sitoutuneen pääoman tuotto (RONA), %</t>
  </si>
  <si>
    <t>Taloudellinen lisäarvo (EVA)</t>
  </si>
  <si>
    <t>Diskontattu taloudellinen lisäarvo (DCVA)</t>
  </si>
  <si>
    <t>Kumulatiivinen diskontattu taloudellinen lisäarvo</t>
  </si>
  <si>
    <t>Liikevoitto</t>
  </si>
  <si>
    <t>Nettoliikevoitto verojen jälkeen</t>
  </si>
  <si>
    <t>Konserni</t>
  </si>
  <si>
    <t>Investointikohteen tulos ennen veroja</t>
  </si>
  <si>
    <t>Rahoituserät ja satunnaiset erät</t>
  </si>
  <si>
    <t>Kokonaisverovaikutus</t>
  </si>
  <si>
    <t>Konsernitulos ennen vähemmistöosuutta</t>
  </si>
  <si>
    <t>Vähemmistöosuus</t>
  </si>
  <si>
    <t>Konsernitulosvaikutus (kum. tilikausi)</t>
  </si>
  <si>
    <t>Konserni: Sitoutuneen pääoman tuotto (RONA), %</t>
  </si>
  <si>
    <t>Konserni: Taloudellinen lisäarvo (EVA)</t>
  </si>
  <si>
    <t>Konserni: Diskontattu taloudellinen lisäarvo (DCVA)</t>
  </si>
  <si>
    <t>Konserni: Kumulatiivinen diskontattu taloudellinen lisäarvo</t>
  </si>
  <si>
    <t>Konserni: Liikevoitto</t>
  </si>
  <si>
    <t>Konserni: Nettoliikevoitto verojen jälkeen</t>
  </si>
  <si>
    <t>KÄYTTÖPÄÄOMA</t>
  </si>
  <si>
    <t>Rahoitusomaisuus</t>
  </si>
  <si>
    <t>Myyntisaamiset</t>
  </si>
  <si>
    <t>Korjattu myyntisaamiset</t>
  </si>
  <si>
    <t>Muut saamiset</t>
  </si>
  <si>
    <t>Minimikassa</t>
  </si>
  <si>
    <t>Minimikassan muutos, lisäys (-)/vähennys (+)</t>
  </si>
  <si>
    <t>Vaihto-omaisuus</t>
  </si>
  <si>
    <t>Lyhytaikaiset velat</t>
  </si>
  <si>
    <t>Ostovelat</t>
  </si>
  <si>
    <t>Korjattu ostovelat</t>
  </si>
  <si>
    <t>Muut lyhytaikaiset velat</t>
  </si>
  <si>
    <t>Muutos, muut lyhytaik. velat, lisäys (+)/väh. (-)</t>
  </si>
  <si>
    <t>Lyhytaikaisten velkojen lisäys (+)/vähennys (-)</t>
  </si>
  <si>
    <t>Käyttöpääomamuutos yhteensä</t>
  </si>
  <si>
    <t>Nettokäyttöpääoma</t>
  </si>
  <si>
    <t>KASSAVIRTALASKELMA</t>
  </si>
  <si>
    <t>Liiketoiminnan kassavirta</t>
  </si>
  <si>
    <t>Käyttöpääomamuutokset</t>
  </si>
  <si>
    <t>Hyödykeinvestoinnit ja -realisoinnit</t>
  </si>
  <si>
    <t>Konsernierät</t>
  </si>
  <si>
    <t>Yritysostot ja -realisoinnit</t>
  </si>
  <si>
    <t>Verovaikutukset</t>
  </si>
  <si>
    <t>Laskentakorko (vuotuinen)</t>
  </si>
  <si>
    <t>Informaatio</t>
  </si>
  <si>
    <t>Käyttöarvo</t>
  </si>
  <si>
    <t>Rahoituskassavirrat</t>
  </si>
  <si>
    <t>Rahoituserien verovaikutuksen oikaisu</t>
  </si>
  <si>
    <t>Vieraan pääoman lisäykset (+) / lyhenn. (-)</t>
  </si>
  <si>
    <t>Muutokset, korollinen vieras pääoma</t>
  </si>
  <si>
    <t>Muutokset vieraassa pääomassa, Rahoitustiedosto</t>
  </si>
  <si>
    <t>Yritysostovelan muutokset</t>
  </si>
  <si>
    <t>Muutokset, koroton vieras pääoma</t>
  </si>
  <si>
    <t>Lyhytaikaisten lainojen muutokset</t>
  </si>
  <si>
    <t>Vapaa kassavirta omalle pääomalle (FCFE)</t>
  </si>
  <si>
    <t>Diskontattu vapaa kassavirta omalle pääomalle (DFCFE)</t>
  </si>
  <si>
    <t>Kumulatiivinen diskontattu vapaa kassavirta omalle pääomalle</t>
  </si>
  <si>
    <t>Oman pääoman tuottovaatimus (vuotuinen)</t>
  </si>
  <si>
    <t>Oman pääoman lisäykset (+) / osingot (-)</t>
  </si>
  <si>
    <t>Osakepääomalisäykset</t>
  </si>
  <si>
    <t>Muutokset ylikurssirahastossa</t>
  </si>
  <si>
    <t>Muutokset muussa sidotussa omassa pääomassa</t>
  </si>
  <si>
    <t>Muutokset emoyhtiön omassa pääomassa</t>
  </si>
  <si>
    <t>Muutokset vapaassa omassa pääomassa</t>
  </si>
  <si>
    <t>Kokonaiskassavirta</t>
  </si>
  <si>
    <t>Kumulatiivinen kokonaiskassavirta</t>
  </si>
  <si>
    <t>TASE</t>
  </si>
  <si>
    <t>VASTAAVAA</t>
  </si>
  <si>
    <t>Avaava tase</t>
  </si>
  <si>
    <t>Käyttöomaisuus ja muut pitkäaikaiset sijoitukset</t>
  </si>
  <si>
    <t>Aineettomat hyödykkeet</t>
  </si>
  <si>
    <t>Aineettomat oikeudet</t>
  </si>
  <si>
    <t>Aineettomat oikeudet (eritellyt)</t>
  </si>
  <si>
    <t>- Poisto</t>
  </si>
  <si>
    <t>Aktivoidut kehityskulut</t>
  </si>
  <si>
    <t>Aktivoidut kehityskulut (eritellyt)</t>
  </si>
  <si>
    <t>Liikearvo</t>
  </si>
  <si>
    <t>Liikearvo (eritellyt)</t>
  </si>
  <si>
    <t>Muut aineettomat hyödykkeet</t>
  </si>
  <si>
    <t>Muut aineettomat hyödykkeet (eritellyt)</t>
  </si>
  <si>
    <t>Aineelliset hyödykkeet</t>
  </si>
  <si>
    <t>Koneet ja kalusto</t>
  </si>
  <si>
    <t>Koneet ja kalusto (eritellyt)</t>
  </si>
  <si>
    <t>Rakennukset ja rakennelmat</t>
  </si>
  <si>
    <t>Rakennukset ja rakennelmat (eritellyt)</t>
  </si>
  <si>
    <t>Maa- ja vesialueet</t>
  </si>
  <si>
    <t>Maa- ja vesialueet (eritellyt)</t>
  </si>
  <si>
    <t>Ennakkomaksut ja keskeneräiset hankinnat</t>
  </si>
  <si>
    <t>Ennakkomaksut ja keskeneräiset hankinnat (eritellyt)</t>
  </si>
  <si>
    <t>Muut aineelliset hyödykkeet</t>
  </si>
  <si>
    <t>Muut aineelliset hyödykkeet (eritellyt)</t>
  </si>
  <si>
    <t>Sijoitukset</t>
  </si>
  <si>
    <t>Osuudet osakkuusyhtiöissä</t>
  </si>
  <si>
    <t>Osuudet osakkuusyhtiöissä (eritellyt)</t>
  </si>
  <si>
    <t>Laskennalliset verosaamiset</t>
  </si>
  <si>
    <t>Laskennalliset verosaamiset (eritellyt)</t>
  </si>
  <si>
    <t>Pitkäaikaiset korolliset saamiset</t>
  </si>
  <si>
    <t>Pitkäaikaiset korolliset saamiset (eritellyt)</t>
  </si>
  <si>
    <t>Muut sijoitukset</t>
  </si>
  <si>
    <t>Muut sijoitukset (eritellyt)</t>
  </si>
  <si>
    <t>Käyttöomaisuus yhteensä</t>
  </si>
  <si>
    <t>Vaihto- ja rahoitusomaisuus</t>
  </si>
  <si>
    <t>Rahat ja pankkisaamiset</t>
  </si>
  <si>
    <t>Vaihto- ja rahoitusomaisuus yhteensä</t>
  </si>
  <si>
    <t>Konserniliikearvo (yritysosto)</t>
  </si>
  <si>
    <t>Rahat ja pankkisaamiset, emoyhtiö</t>
  </si>
  <si>
    <t>KONSERNIVASTAAVAA</t>
  </si>
  <si>
    <t>VASTATTAVAA</t>
  </si>
  <si>
    <t>Oma pääoma yhteensä</t>
  </si>
  <si>
    <t>Tilinpäätössiirtojen kertymä</t>
  </si>
  <si>
    <t>Varaukset</t>
  </si>
  <si>
    <t>Vieras pääoma</t>
  </si>
  <si>
    <t>Pitkäaikainen vieras pääoma</t>
  </si>
  <si>
    <t>Korollinen pitkäaikainen vieras pääoma</t>
  </si>
  <si>
    <t>Koroton pitkäaikainen vieras pääoma</t>
  </si>
  <si>
    <t>Laskennalliset verovelat</t>
  </si>
  <si>
    <t>Lyhytaikainen vieras pääoma</t>
  </si>
  <si>
    <t>Korollinen lyhytaikainen vieras pääoma</t>
  </si>
  <si>
    <t>Lyhytaikaiset lainat</t>
  </si>
  <si>
    <t>Pitkäaikaisten lainojen lyhytaikainen osuus</t>
  </si>
  <si>
    <t>Koroton lyhytaikainen vieras pääoma</t>
  </si>
  <si>
    <t>Muu koroton lyhytaikainen velka</t>
  </si>
  <si>
    <t>Kertyneet investointimenot</t>
  </si>
  <si>
    <t>Vieras pääoma yhteensä</t>
  </si>
  <si>
    <t>Tarkistus, vastattavaa - vastaavaa</t>
  </si>
  <si>
    <t>KONSERNIVASTATTAVAA</t>
  </si>
  <si>
    <t>Tarkistus, vastattavaa - vastaavaa (konsernitase)</t>
  </si>
  <si>
    <t>Arvonalentumistesti</t>
  </si>
  <si>
    <t>Omaisuuserän kirjanpitoarvo</t>
  </si>
  <si>
    <t>Tarkistusarvo (+ kasvupääoma / - arvonalennustappio)</t>
  </si>
  <si>
    <t>TUNNUSLUVUT</t>
  </si>
  <si>
    <t>Månad</t>
  </si>
  <si>
    <t>Kvartal</t>
  </si>
  <si>
    <t>År</t>
  </si>
  <si>
    <t>Skatte-%</t>
  </si>
  <si>
    <t>ID: Mån., Kvartal &amp; Bokslut (MMÅÅ)</t>
  </si>
  <si>
    <t>Anslutningsavgifter</t>
  </si>
  <si>
    <t>Mån. per period</t>
  </si>
  <si>
    <t>INVESTERINGAR (-) / REALISERINGAR (+)</t>
  </si>
  <si>
    <t>Kalkylmässig avskrivning</t>
  </si>
  <si>
    <t>Avskr.-%</t>
  </si>
  <si>
    <t>Bokföringsvärde</t>
  </si>
  <si>
    <t>Kalkylmässigt bokföringsvärde</t>
  </si>
  <si>
    <t>Investeringar</t>
  </si>
  <si>
    <t>Realiseringar</t>
  </si>
  <si>
    <t>Avskrivningar</t>
  </si>
  <si>
    <t>Realiseringsvinster (+) / -förluster (-)</t>
  </si>
  <si>
    <t>Interna</t>
  </si>
  <si>
    <t>Kalkylerat bokföringsvärde</t>
  </si>
  <si>
    <t>Koncerninvesteringar</t>
  </si>
  <si>
    <t>Koncernrealiseringar</t>
  </si>
  <si>
    <t>Koncernavskrivningar</t>
  </si>
  <si>
    <t>Koncernrealiseringsvinster (+) / -förluster (-)</t>
  </si>
  <si>
    <t>Koncernbokföringsvärde</t>
  </si>
  <si>
    <t>Goodwill-kalkyl</t>
  </si>
  <si>
    <t>Metod</t>
  </si>
  <si>
    <t>Inköpspris</t>
  </si>
  <si>
    <t>Andel, %</t>
  </si>
  <si>
    <t>Aktiekapital</t>
  </si>
  <si>
    <t>Överkursfond</t>
  </si>
  <si>
    <t>Övrigt bundet eget kapital</t>
  </si>
  <si>
    <t>Fritt eget kapital</t>
  </si>
  <si>
    <t>Räkenskapsperiodens vinst (förlust)</t>
  </si>
  <si>
    <t>Avskrivningsdifferens</t>
  </si>
  <si>
    <t>Övervärde före skatt</t>
  </si>
  <si>
    <t>Uppskjuten skatt</t>
  </si>
  <si>
    <t>Övervärde</t>
  </si>
  <si>
    <t xml:space="preserve">Belopp allokerat på </t>
  </si>
  <si>
    <t>Balansvärde</t>
  </si>
  <si>
    <t>Allokerad uppskjuten skatt</t>
  </si>
  <si>
    <t>Summa allokerat övervärde</t>
  </si>
  <si>
    <t>Kumulativ oavskriven goodwill</t>
  </si>
  <si>
    <t>Koncern goodwill</t>
  </si>
  <si>
    <t>Korrigering av eget kapital</t>
  </si>
  <si>
    <t>Finansiering av förvärv</t>
  </si>
  <si>
    <t>Eget kapital</t>
  </si>
  <si>
    <t>Räntebärande långfristigt främmande kapital</t>
  </si>
  <si>
    <t>Amorteringar</t>
  </si>
  <si>
    <t>Finansieringskostnader</t>
  </si>
  <si>
    <t>RESULTATRÄKNING</t>
  </si>
  <si>
    <t>Intäkter</t>
  </si>
  <si>
    <t>Rörliga kostnader</t>
  </si>
  <si>
    <t>Material, förnödenheter och varor</t>
  </si>
  <si>
    <t>Tjänster av utomstående</t>
  </si>
  <si>
    <t>Personalkostnader</t>
  </si>
  <si>
    <t>Övriga rörliga kostnader</t>
  </si>
  <si>
    <t>Försäljningsbidrag</t>
  </si>
  <si>
    <t>Fasta kostnader</t>
  </si>
  <si>
    <t>Hyror</t>
  </si>
  <si>
    <t>Övriga fasta kostnader</t>
  </si>
  <si>
    <t>Avsättningar, ökning (-) / minskning (+)</t>
  </si>
  <si>
    <t>EBITDA; Rörelseresultat före avskrivningar</t>
  </si>
  <si>
    <t>Goodwill-avskrivningar</t>
  </si>
  <si>
    <t>Övriga investeringar</t>
  </si>
  <si>
    <t>EBIT; Rörelseresultat</t>
  </si>
  <si>
    <t>Finansiella intäkter och kostnader</t>
  </si>
  <si>
    <t>Finansiella intäkter och kostnader, Finansieringsfil</t>
  </si>
  <si>
    <t>EBT; Resultat efter finansiella poster</t>
  </si>
  <si>
    <t>Extraordinära intäkter och kostnader</t>
  </si>
  <si>
    <t>Övriga extraordinära intäkter (-kostnader)</t>
  </si>
  <si>
    <t>Resultat före bokslutsdispositioner och skatter</t>
  </si>
  <si>
    <t>Bokslutsdispositioner, ökning (-) / minskning (+)</t>
  </si>
  <si>
    <t>Avskrivningar utöver (-) / under (+) kalkylmässiga</t>
  </si>
  <si>
    <t>Direkta skatter</t>
  </si>
  <si>
    <t>Uppskjutna skatter</t>
  </si>
  <si>
    <t>Minoritetsandelar</t>
  </si>
  <si>
    <t>Periodens vinst (förlust)</t>
  </si>
  <si>
    <t>Investeringsobjektet</t>
  </si>
  <si>
    <t>Avkastning på nettokapital (RONA), %</t>
  </si>
  <si>
    <t>Ekonomiskt mervärde (EVA)</t>
  </si>
  <si>
    <t>Diskonterat ekonomiskt mervärde (DCVA)</t>
  </si>
  <si>
    <t>Kumulativt diskonterat ekonomiskt mervärde</t>
  </si>
  <si>
    <t>Rörelsevinst</t>
  </si>
  <si>
    <t>Nettorörelsevinst efter skatt</t>
  </si>
  <si>
    <t>Koncern</t>
  </si>
  <si>
    <t>Investeringsobjektets resultat före skatt</t>
  </si>
  <si>
    <t>Finansieringsposter och extraordinära poster</t>
  </si>
  <si>
    <t>Total skatte-effekt</t>
  </si>
  <si>
    <t>Koncernresultat före minoritetsandel</t>
  </si>
  <si>
    <t>Minoritetsandel</t>
  </si>
  <si>
    <t>Koncernresultateffekt (kum. räkenskapsperiod)</t>
  </si>
  <si>
    <t>Koncern: Avkastning på nettokapital (RONA), %</t>
  </si>
  <si>
    <t>Koncern: Ekonomiskt mervärde (EVA)</t>
  </si>
  <si>
    <t>Koncern: Diskonterat ekonomiskt mervärde (DCVA)</t>
  </si>
  <si>
    <t>Koncern: Kumulativt diskonterat ekonomiskt mervärde</t>
  </si>
  <si>
    <t>Koncern: Rörelsevinst</t>
  </si>
  <si>
    <t>Koncern: Nettorörelsevinst efter skatt</t>
  </si>
  <si>
    <t>RÖRELSEKAPITAL</t>
  </si>
  <si>
    <t>Övriga fordringar</t>
  </si>
  <si>
    <t>Förändring i övriga fordringar</t>
  </si>
  <si>
    <t>Minimikassa, ökning (-)/minskning (+)</t>
  </si>
  <si>
    <t>Lager</t>
  </si>
  <si>
    <t>Lager, ökning (-)/minskning (+)</t>
  </si>
  <si>
    <t>Kortfristiga skulder</t>
  </si>
  <si>
    <t>Leverantörsskulder</t>
  </si>
  <si>
    <t>Korrigerade leverantörsskulder</t>
  </si>
  <si>
    <t>Övriga kortfristiga skulder</t>
  </si>
  <si>
    <t>Förändring i övriga kortfr. skulder, ökning (+)/minskn. (-)</t>
  </si>
  <si>
    <t>Kortfristiga skulder, ökning (+)/minskn. (-)</t>
  </si>
  <si>
    <t>Förändring i rörelsekapital</t>
  </si>
  <si>
    <t>Nettorörelsekapital</t>
  </si>
  <si>
    <t>KASSAFLÖDESANALYS</t>
  </si>
  <si>
    <t>Rörelsens kassaflöde</t>
  </si>
  <si>
    <t>Förändringar i rörelsekapital</t>
  </si>
  <si>
    <t>Tillgångsinvesteringar och -realiseringar</t>
  </si>
  <si>
    <t>Koncernposter</t>
  </si>
  <si>
    <t>Företagsköp och -realiseringar</t>
  </si>
  <si>
    <t>Skatte-effekter</t>
  </si>
  <si>
    <t>Diskonteringsränta (per annum)</t>
  </si>
  <si>
    <t>Nyttjandevärde</t>
  </si>
  <si>
    <t>Finansiella kassaströmmar</t>
  </si>
  <si>
    <t>Rättelse av skatteeffekt av finansiella poster</t>
  </si>
  <si>
    <t>Främmande kapital, ökning (+) / amort. (-)</t>
  </si>
  <si>
    <t>Förändring i räntebärande främmande kapital</t>
  </si>
  <si>
    <t>Förändringar i främmande kapital, Finansieringsfil</t>
  </si>
  <si>
    <t>Förändring i lån för företagsköp</t>
  </si>
  <si>
    <t>Förändring i räntefritt främmande kapital</t>
  </si>
  <si>
    <t>Förändring i kortfristiga lån</t>
  </si>
  <si>
    <t>Fritt kassaflöde till eget kapital (FCFE)</t>
  </si>
  <si>
    <t>Diskonterat fritt kassaflöde till eget kapital (DFCFE)</t>
  </si>
  <si>
    <t>Kumulativt diskonterat fritt kassaflöde till eget kapital</t>
  </si>
  <si>
    <t>Avkastningskrav på eget kapital (per annum)</t>
  </si>
  <si>
    <t>Eget kapital, ökning (+) / utdelning (-)</t>
  </si>
  <si>
    <t>Aktiekapitalökningar</t>
  </si>
  <si>
    <t>Förändring i överkursfond</t>
  </si>
  <si>
    <t>Förändring i övrigt bundet eget kapital</t>
  </si>
  <si>
    <t>Förändringar i moderbolagets eget kapital</t>
  </si>
  <si>
    <t>Förändring i fritt eget kapital</t>
  </si>
  <si>
    <t>Totalt kassaflöde</t>
  </si>
  <si>
    <t>Kumulativt totalkassaflöde</t>
  </si>
  <si>
    <t>BALANSRÄKNING</t>
  </si>
  <si>
    <t>TILLGÅNGAR</t>
  </si>
  <si>
    <t>Ingående balans</t>
  </si>
  <si>
    <t>Anläggningstillgångar och övriga långfristiga tillgångar</t>
  </si>
  <si>
    <t>Immateriella tillgångar</t>
  </si>
  <si>
    <t>Immateriella rättigheter</t>
  </si>
  <si>
    <t>Immateriella rättigheter (specificerade)</t>
  </si>
  <si>
    <t>- Avskrivning</t>
  </si>
  <si>
    <t>Aktiverade utvecklingskostnader</t>
  </si>
  <si>
    <t>Aktiverade utvecklingskostnader (specificerade)</t>
  </si>
  <si>
    <t>Goodwill (specifiserad)</t>
  </si>
  <si>
    <t>Övriga immateriella tillgångar</t>
  </si>
  <si>
    <t>Övriga immateriella tillgångar (specificerade)</t>
  </si>
  <si>
    <t>Materiella tillgångar</t>
  </si>
  <si>
    <t>Maskiner och utrustning</t>
  </si>
  <si>
    <t>Maskiner och utrustning (specificerade)</t>
  </si>
  <si>
    <t>Byggnader och konstruktioner</t>
  </si>
  <si>
    <t>Byggnader och konstruktioner (specificerade)</t>
  </si>
  <si>
    <t>Land- och vattenområden</t>
  </si>
  <si>
    <t>Land- och vattenområden (specificerade)</t>
  </si>
  <si>
    <t>Förskottsbet. och pågående nyanläggningar</t>
  </si>
  <si>
    <t>Förskottsbet. och pågående nyanläggningar (specificerade)</t>
  </si>
  <si>
    <t>Övriga materiella tillgångar</t>
  </si>
  <si>
    <t>Övriga materiella tillgångar (specificerade)</t>
  </si>
  <si>
    <t>Placeringar</t>
  </si>
  <si>
    <t>Andelar i delägarbolag</t>
  </si>
  <si>
    <t>Andelar i delägarbolag (specificerade)</t>
  </si>
  <si>
    <t>Kalkylmässiga skattefordringar</t>
  </si>
  <si>
    <t>Kalkylmässiga skattefordringar (specificerade)</t>
  </si>
  <si>
    <t>Räntebärande långfristiga fordringar</t>
  </si>
  <si>
    <t>Räntebärande långfristiga fordringar (specificerade)</t>
  </si>
  <si>
    <t>Övriga placeringar</t>
  </si>
  <si>
    <t>Övriga placeringar (specificerade)</t>
  </si>
  <si>
    <t>Anläggningstillgångar totalt</t>
  </si>
  <si>
    <t>Omsättningstillgångar</t>
  </si>
  <si>
    <t>Varulager</t>
  </si>
  <si>
    <t>Kassa och banktillgodohavanden</t>
  </si>
  <si>
    <t>Omsättningstillgångar totalt</t>
  </si>
  <si>
    <t>Kassa och banktillgodohavanden, moderbolag</t>
  </si>
  <si>
    <t>KONCERNTILLGÅNGAR</t>
  </si>
  <si>
    <t>EGET KAPITAL OCH SKULDER</t>
  </si>
  <si>
    <t xml:space="preserve">Eget kapital </t>
  </si>
  <si>
    <t>Eget kapital totalt</t>
  </si>
  <si>
    <t>Bokslutsdispositioner</t>
  </si>
  <si>
    <t>Avsättningar</t>
  </si>
  <si>
    <t>Främmande kapital</t>
  </si>
  <si>
    <t>Långfristigt främmande kapital</t>
  </si>
  <si>
    <t>Räntefritt långfristigt främmande kapital</t>
  </si>
  <si>
    <t>Uppskjutna skatteskulder</t>
  </si>
  <si>
    <t>Kortfristigt främmande kapital</t>
  </si>
  <si>
    <t>Räntebärande kortfristigt främmande kapital</t>
  </si>
  <si>
    <t>Kortfristiga lån</t>
  </si>
  <si>
    <t>Kortfristig andel av långfristiga lån</t>
  </si>
  <si>
    <t>Övrigt räntefritt kortfristigt främmande kapital</t>
  </si>
  <si>
    <t>Upplupna investeringsutgifter</t>
  </si>
  <si>
    <t>Kalkylerad skatteskuld</t>
  </si>
  <si>
    <t>Främmande kapital totalt</t>
  </si>
  <si>
    <t>Kontroll: Eget kapital och skulder - Tillgångar</t>
  </si>
  <si>
    <t>Kalkylmässig skatteskuld</t>
  </si>
  <si>
    <t>KONCERN EGET KAPITAL OCH SKULDER</t>
  </si>
  <si>
    <t>Kontroll: Eget kapital och skulder - Tillgångar (koncern)</t>
  </si>
  <si>
    <t>Nedskrivningsprövning</t>
  </si>
  <si>
    <t>Egendomspostens bokföringsvärde</t>
  </si>
  <si>
    <t>Kontrollvärde (+ tillväxtkapital / - värdeminskningsförlust)</t>
  </si>
  <si>
    <t>NYCKELTAL</t>
  </si>
  <si>
    <t>Vierteljahr</t>
  </si>
  <si>
    <t>Steuer-%</t>
  </si>
  <si>
    <t>Periode</t>
  </si>
  <si>
    <t>ID: MM, Vierteljahr &amp; Rechnungsperiode (MMJJ)</t>
  </si>
  <si>
    <t>Anschlussgebühren</t>
  </si>
  <si>
    <t>Monate pro Periode</t>
  </si>
  <si>
    <t>INVESTITIONEN (-) / REALISATIONEN (+)</t>
  </si>
  <si>
    <t>Kalkulatorische Abschreibung</t>
  </si>
  <si>
    <t>Abschr.-%</t>
  </si>
  <si>
    <t>(linear)</t>
  </si>
  <si>
    <t>Buchwert</t>
  </si>
  <si>
    <t>Kalkulatorischer Buchwert</t>
  </si>
  <si>
    <t>Investitionen</t>
  </si>
  <si>
    <t>Realisationen</t>
  </si>
  <si>
    <t>Abschreibungen</t>
  </si>
  <si>
    <t>Verkaufsgewinn (+) / -verlust (-)</t>
  </si>
  <si>
    <t>Interne</t>
  </si>
  <si>
    <t>Konzerninvestitionen</t>
  </si>
  <si>
    <t>Konzernrealisationen</t>
  </si>
  <si>
    <t>Konzernabschreibungen</t>
  </si>
  <si>
    <t>Konzernverkaufsgewinn (+) / -verlust (-)</t>
  </si>
  <si>
    <t>Konzernbuchwert</t>
  </si>
  <si>
    <t>Geschäftswertberechnung</t>
  </si>
  <si>
    <t>Methode</t>
  </si>
  <si>
    <t>Kaufpreis</t>
  </si>
  <si>
    <t>Vermögensbeteiligung, %</t>
  </si>
  <si>
    <t>Aktienkapital</t>
  </si>
  <si>
    <t>Eigenkapital Fond</t>
  </si>
  <si>
    <t>Sonstiges gebundenes Eigenkapital</t>
  </si>
  <si>
    <t>Gewinnvortrag</t>
  </si>
  <si>
    <t>Gewinn (Verlust) der Periode</t>
  </si>
  <si>
    <t>Differenz zwischen plan- und buchmäßigen Abschreibungen</t>
  </si>
  <si>
    <t>Überwert vor Steuerschuld</t>
  </si>
  <si>
    <t>Latente Steuerschuld</t>
  </si>
  <si>
    <t>Überwert</t>
  </si>
  <si>
    <t>Verteilter Überwert vor Steuern</t>
  </si>
  <si>
    <t xml:space="preserve">Verteilter Betrag für </t>
  </si>
  <si>
    <t>Saldo</t>
  </si>
  <si>
    <t>Verteilte latente Steuerschuld</t>
  </si>
  <si>
    <t>Gesamter verteilter Überwert</t>
  </si>
  <si>
    <t>Resultierender Geschäftswert</t>
  </si>
  <si>
    <t>Kumulativer Restbuchwert des Geschäftswertes</t>
  </si>
  <si>
    <t>Konzerngeschäftswert</t>
  </si>
  <si>
    <t>Korrektur für Eigenkapital</t>
  </si>
  <si>
    <t>Unternehmenskauf Finanzierung</t>
  </si>
  <si>
    <t>Eigenkapital</t>
  </si>
  <si>
    <t>Verzinsliches Fremdkapital</t>
  </si>
  <si>
    <t>Abzahlungen</t>
  </si>
  <si>
    <t>Finanzierungsaufwendungen</t>
  </si>
  <si>
    <t>GEWINN- UND VERLUSTRECHNUNG</t>
  </si>
  <si>
    <t>Erträge, spezifiert:</t>
  </si>
  <si>
    <t>Erträge</t>
  </si>
  <si>
    <t>Variable Kosten</t>
  </si>
  <si>
    <t>Aufw. für Roh-, Hilfs-, Betriebsstoffe u. Waren</t>
  </si>
  <si>
    <t>Aufw. für bezogene Leistungen</t>
  </si>
  <si>
    <t>Personalkosten</t>
  </si>
  <si>
    <t>Sonstige direkte Kosten</t>
  </si>
  <si>
    <t>Deckungsbeitrag 1</t>
  </si>
  <si>
    <t>Fixe Kosten</t>
  </si>
  <si>
    <t>Mieten</t>
  </si>
  <si>
    <t>Sonstige Gemeinkosten</t>
  </si>
  <si>
    <t>EBITDA; Ergebnis vor Zinsen, Steuern, Abschreibungen</t>
  </si>
  <si>
    <t>Abschreibungen beim Geschäftswert</t>
  </si>
  <si>
    <t>Sonstige Abschreibungen</t>
  </si>
  <si>
    <t>EBIT; Ergebnis vor Zinsen und Steuern</t>
  </si>
  <si>
    <t>Finanzierungseinkünfte und -kosten</t>
  </si>
  <si>
    <t>Finanzierungseinkünfte und -kosten, Finanzierungsdatei</t>
  </si>
  <si>
    <t>EBT; Ergebnis 1 vor Steuern</t>
  </si>
  <si>
    <t>Ausserordentliche Erträge und Aufwendungen</t>
  </si>
  <si>
    <t>Verkaufsgewinn (-verlust)</t>
  </si>
  <si>
    <t>Abschreibung über (-) / unter (+) kalkulatorische</t>
  </si>
  <si>
    <t>Latente Steuern</t>
  </si>
  <si>
    <t>Minderheitsanteil</t>
  </si>
  <si>
    <t>Gewinn (Verlust)</t>
  </si>
  <si>
    <t>Investitionsprojekt</t>
  </si>
  <si>
    <t xml:space="preserve">Ertrag Nettokapital (RONA),  % </t>
  </si>
  <si>
    <t>Wertbeitrag (EVA)</t>
  </si>
  <si>
    <t>Diskontierter Wertbeitrag (DCVA)</t>
  </si>
  <si>
    <t>Kumulierter diskontierter Wertbeitrag</t>
  </si>
  <si>
    <t>Betriebsergebnis</t>
  </si>
  <si>
    <t>Nettogeschäftsgewinn nach Steuern</t>
  </si>
  <si>
    <t>Konzern</t>
  </si>
  <si>
    <t>Ergebnis des Investitionsobjekts vor Steuern</t>
  </si>
  <si>
    <t>Finanzierungsposten und außerordentliche Posten</t>
  </si>
  <si>
    <t>Gesamtsteuereffekt</t>
  </si>
  <si>
    <t>Einfluss des Gruppenergebnisses vor Minderheitsanteil</t>
  </si>
  <si>
    <t>Konzernergebniseffekt (kumul. Geschäftsjahr)</t>
  </si>
  <si>
    <t>Konzern: Ertrag durch gebundenes Kapital (RONA), %</t>
  </si>
  <si>
    <t>Konzern: Wertbeitrag (EVA)</t>
  </si>
  <si>
    <t>Konzern: Diskontierter Wertbeitrag (DCVA)</t>
  </si>
  <si>
    <t>Konzern: Kumulierter diskontierter Wertbeitrag</t>
  </si>
  <si>
    <t>Konzern: Geschäftsgewinn</t>
  </si>
  <si>
    <t>Konzern: Nettogeschäftsgewinn nach Steuern</t>
  </si>
  <si>
    <t>Finanzielles Umlaufvermögen</t>
  </si>
  <si>
    <t>Zahlungziel der Forder. aus Lief. u. Leist., Tage</t>
  </si>
  <si>
    <t>Forderungen aus Lief. und Leist.</t>
  </si>
  <si>
    <t>Forderungen aus Lief. und Leist., korrigiert</t>
  </si>
  <si>
    <t>Andere Forderungen</t>
  </si>
  <si>
    <t>Veränderung, andere Forderungen, Zu- (-) / Abnahme (+)</t>
  </si>
  <si>
    <t>Mindestliquidität</t>
  </si>
  <si>
    <t>Mindestkassenbestand, Zunahme (-) / Abnahme (+)</t>
  </si>
  <si>
    <t>Vorräte</t>
  </si>
  <si>
    <t>Verbindlichkeiten</t>
  </si>
  <si>
    <t>Durchschnittliche Zahlungsdauer, Tage</t>
  </si>
  <si>
    <t>Verbindlichkeiten aus Lief. und Leist. (LuL)</t>
  </si>
  <si>
    <t>Verbindlichkeiten aus LuL, korrigiert</t>
  </si>
  <si>
    <t>Veränderung, Verbindlichk. aus LuL, Zu- (+) / Abnahme (-)</t>
  </si>
  <si>
    <t>Sonstige kurzfristige Verbindlichkeiten</t>
  </si>
  <si>
    <t>Veränderung, Sonstige kfr. Verbindlichk., Zu- (+) / Abnahme (-)</t>
  </si>
  <si>
    <t>Working Capital</t>
  </si>
  <si>
    <t>CASH FLOW-RECHNUNG</t>
  </si>
  <si>
    <t>Betrieblicher Cash Flow</t>
  </si>
  <si>
    <t>Außerordentliche Erträge und Aufwendungen</t>
  </si>
  <si>
    <t>Investitionen in und Verwertungen von Gütern</t>
  </si>
  <si>
    <t>Konzern Cash Flow</t>
  </si>
  <si>
    <t>Unternehmensaufkäufe und -verwertungen</t>
  </si>
  <si>
    <t>Kalkulationszinsfuß (pro Jahr)</t>
  </si>
  <si>
    <t>Gebrauchswert</t>
  </si>
  <si>
    <t>Finanzieller Cash Flow</t>
  </si>
  <si>
    <t>Steuerkorrektur fur Finanzierungskosten /-ertrage</t>
  </si>
  <si>
    <t>Fremdkapital, Erhöh. (+) / Tilgung (-)</t>
  </si>
  <si>
    <t>Veränderungen, verzinsliches Fremdkapital</t>
  </si>
  <si>
    <t>Änderungen im Fremdkapital, Finanzierungsdatei</t>
  </si>
  <si>
    <t>Veränderungen bei Verbindlichkeiten aus Unternehmensaufkäufen</t>
  </si>
  <si>
    <t>Veränderungen, unverzinsliches Fremdkapital</t>
  </si>
  <si>
    <t>Änderungen bei kurzfristigen Krediten</t>
  </si>
  <si>
    <t>Free Cash Flow des Eigenkapitals (FCFE)</t>
  </si>
  <si>
    <t>Diskontierter Free Cash Flow des Eigenkapitals (DFCFE)</t>
  </si>
  <si>
    <t>Diskontierter Free Cash Flow des Eigenkapitals kumuliert</t>
  </si>
  <si>
    <t>Eigenkapitalkosten (Pro Jahr)</t>
  </si>
  <si>
    <t>Eigenkapital, Erhöhung (+) / Dividenden (-)</t>
  </si>
  <si>
    <t>Erhöhung Eigenkapital</t>
  </si>
  <si>
    <t>Veränderung gesetzl. Rücklagen</t>
  </si>
  <si>
    <t>Veränderung sonstige Rücklagen</t>
  </si>
  <si>
    <t>Erhöhung Eigenkapital, Muttergesellschaft</t>
  </si>
  <si>
    <t>Veränderungen der Gewinnrücklagen</t>
  </si>
  <si>
    <t>Gesamt-Cash Flow</t>
  </si>
  <si>
    <t>Kumuliert Gesamt-Cash Flow</t>
  </si>
  <si>
    <t>BILANZ</t>
  </si>
  <si>
    <t>AKTIVA</t>
  </si>
  <si>
    <t>Anfangsbilanz</t>
  </si>
  <si>
    <t>Anlagevermögen</t>
  </si>
  <si>
    <t>Immaterielle Vermögenswerte</t>
  </si>
  <si>
    <t>Immaterielle Rechte</t>
  </si>
  <si>
    <t>Immaterielle Rechte (spezifiert)</t>
  </si>
  <si>
    <t>- Abschreibung</t>
  </si>
  <si>
    <t>Kapitalisierte Entwicklungskosten</t>
  </si>
  <si>
    <t>Kapitalisierte Entwicklungskosten (spezifiert)</t>
  </si>
  <si>
    <t>Geschäftswert</t>
  </si>
  <si>
    <t>Geschäftswert (spezifiert)</t>
  </si>
  <si>
    <t>Sonstige immaterielle Vermögenswerte</t>
  </si>
  <si>
    <t>Sonstige immaterielle Vermögenswerte (spezifiert)</t>
  </si>
  <si>
    <t>Materielle Vermögensgegenstände</t>
  </si>
  <si>
    <t>Maschinen und Anlagen</t>
  </si>
  <si>
    <t>Maschinen und Anlagen (spezifiert)</t>
  </si>
  <si>
    <t>Gebäude und Konstruktionen</t>
  </si>
  <si>
    <t>Gebäude und Konstruktionen (spezifiert)</t>
  </si>
  <si>
    <t>Grund und Gewässer</t>
  </si>
  <si>
    <t>Grund und Gewässer (spezifiert)</t>
  </si>
  <si>
    <t>Anlagen im Bau und geleistete Anzahlungen</t>
  </si>
  <si>
    <t>Anlagen im Bau und geleistete Anzahlungen  (spezifiert)</t>
  </si>
  <si>
    <t>Sonstige materielle Vermögenswerte</t>
  </si>
  <si>
    <t>Sonstige materielle Vermögenswerte (spezifiert)</t>
  </si>
  <si>
    <t>Finanzinvestitionen</t>
  </si>
  <si>
    <t>Investitionen in Tochterunternehmen</t>
  </si>
  <si>
    <t>Investitionen in Tochterunternehmen (spezifiert)</t>
  </si>
  <si>
    <t>Latenter Steueranspruch</t>
  </si>
  <si>
    <t>Latenter Steueranspruch (spezifiert)</t>
  </si>
  <si>
    <t>Forderungen aus langfristigen Krediten</t>
  </si>
  <si>
    <t>Forderungen aus langfristigen Krediten (spezifiert)</t>
  </si>
  <si>
    <t>Sonstige Investitionen</t>
  </si>
  <si>
    <t>Sonstige Investitionen (spezifiert)</t>
  </si>
  <si>
    <t>Summe Anlagevermögen</t>
  </si>
  <si>
    <t>Umlaufvermögen</t>
  </si>
  <si>
    <t>Liquide Mittel</t>
  </si>
  <si>
    <t>Summe Umlaufvermögen</t>
  </si>
  <si>
    <t>Konzerngeschäftswert (Unternehmensaufkauf)</t>
  </si>
  <si>
    <t>Liquide Mittel, Muttergesellschaft</t>
  </si>
  <si>
    <t>KONZERNAKTIVA</t>
  </si>
  <si>
    <t>EIGENKAPITAL UND VERBINDLICHKEITEN</t>
  </si>
  <si>
    <t>Gesetzliche Rücklagen</t>
  </si>
  <si>
    <t>Freie Rücklagen</t>
  </si>
  <si>
    <t>Summe Eigenkapital</t>
  </si>
  <si>
    <t>Rückstellungen</t>
  </si>
  <si>
    <t>Minderheitsanteile</t>
  </si>
  <si>
    <t>Langfristige Verbindlichkeiten</t>
  </si>
  <si>
    <t>Verzinsliches langfristiges Fremdkapital</t>
  </si>
  <si>
    <t>Unverzinsliches langfristiges Fremdkapital</t>
  </si>
  <si>
    <t>Latente Steuerschulden</t>
  </si>
  <si>
    <t>Kurzfristige Verbindlichkeiten</t>
  </si>
  <si>
    <t>Verzinsliches kurzfristiges Fremdkapital</t>
  </si>
  <si>
    <t>Kurzfristige Kredite</t>
  </si>
  <si>
    <t>Kurzfristiger Anteil an langfristigen Krediten</t>
  </si>
  <si>
    <t>Zinsloses kurzfristiges Fremdkapital</t>
  </si>
  <si>
    <t>Verbindlichkeiten aus Lieferungen</t>
  </si>
  <si>
    <t>Abgegrenzter Investitionsaufwand</t>
  </si>
  <si>
    <t>Kurzfristige Verbindlichkeiten, Steuern</t>
  </si>
  <si>
    <t>Summe Verbindlichkeiten</t>
  </si>
  <si>
    <t>Kontrolle, Passiva - Aktiva</t>
  </si>
  <si>
    <t>KONZERNPASSIVA</t>
  </si>
  <si>
    <t>Kontrolle, Passiva - Aktiva (Konzernbilanz)</t>
  </si>
  <si>
    <t>Wertminderungstest</t>
  </si>
  <si>
    <t>Buchwert der Aktivposten</t>
  </si>
  <si>
    <t>Kontrollwert (+ verzinstes Kapital / - Wertverlust)</t>
  </si>
  <si>
    <t>KENNZAHLEN</t>
  </si>
  <si>
    <t>Miesiąc</t>
  </si>
  <si>
    <t>Kwartał</t>
  </si>
  <si>
    <t>Rok</t>
  </si>
  <si>
    <t>Stopa podatkowa - %</t>
  </si>
  <si>
    <t>Okres</t>
  </si>
  <si>
    <t>Identyfikator: Miesiąc, Kwartał i Rok finansowy (MMRR)</t>
  </si>
  <si>
    <t>Opłaty za podłączenie</t>
  </si>
  <si>
    <t>Liczba miesięcy w okresie</t>
  </si>
  <si>
    <t>Opłaty za podłączenie, wzrost (+) / spadek (-)</t>
  </si>
  <si>
    <t>INWESTYCJE (-) / SPRZEDAŻ AKTYWÓW (+)</t>
  </si>
  <si>
    <t>Amortyzacja kalkulacyjna</t>
  </si>
  <si>
    <t>Amort. (%)</t>
  </si>
  <si>
    <t>(liniowa)</t>
  </si>
  <si>
    <t>Wartość księgowa</t>
  </si>
  <si>
    <t>Kalkulacyjna wartość księgowa</t>
  </si>
  <si>
    <t>Inwestycje</t>
  </si>
  <si>
    <t>Sprzedaż aktywów</t>
  </si>
  <si>
    <t>Zysk (+)/ strata (-) na sprzedaży aktywów</t>
  </si>
  <si>
    <t>Wewnętrzne</t>
  </si>
  <si>
    <t>Inwestycje Grupy</t>
  </si>
  <si>
    <t>Sprzedaż aktywów Grupy</t>
  </si>
  <si>
    <t>Amortyzacja Grupy</t>
  </si>
  <si>
    <t>Zysk (+)/ strata (-) na sprzedaży aktywów Grupy</t>
  </si>
  <si>
    <t>Wartość księgowa Grupy</t>
  </si>
  <si>
    <t>Obliczenie wartości firmy</t>
  </si>
  <si>
    <t>Metoda</t>
  </si>
  <si>
    <t>Cena</t>
  </si>
  <si>
    <t>Udział (%)</t>
  </si>
  <si>
    <t>Kapitał udziałowy/akcyjny</t>
  </si>
  <si>
    <t>Nadwyżka ceny emisyjnej nad wartością nominalną</t>
  </si>
  <si>
    <t>Środki o ograniczonej możliwości dysponowania</t>
  </si>
  <si>
    <t>Zyski zatrzymane</t>
  </si>
  <si>
    <t>Zysk (strata) w okresie</t>
  </si>
  <si>
    <t>Korekta amortyzacji</t>
  </si>
  <si>
    <t>Przeszacowanie przed opodatkowaniem</t>
  </si>
  <si>
    <t>Rezerwa z tytułu odroczonego podatku dochodowego</t>
  </si>
  <si>
    <t>Przeszacowanie</t>
  </si>
  <si>
    <t>Alokowane przeszacowanie przed opodatkowaniem</t>
  </si>
  <si>
    <t xml:space="preserve">Środki alokowane do </t>
  </si>
  <si>
    <t>Alokowana rezerwa z tyt. odroczonego podatku dochod.</t>
  </si>
  <si>
    <t>Przydzielone przeszacowanie razem</t>
  </si>
  <si>
    <t>Wartość firmy (goodwill)</t>
  </si>
  <si>
    <t>Saldo skumulowanej wartości firmy</t>
  </si>
  <si>
    <t>Wartość firmy (goodwill) Grupy</t>
  </si>
  <si>
    <t>Korekty kapitału własnego</t>
  </si>
  <si>
    <t>Finansowanie przejęcia</t>
  </si>
  <si>
    <t>Kapitał własny</t>
  </si>
  <si>
    <t>Zadłużenie długoterminowe oprocentowane</t>
  </si>
  <si>
    <t>Raty kapitałowe</t>
  </si>
  <si>
    <t>Koszty finansowe</t>
  </si>
  <si>
    <t>RACHUNEK WYNIKÓW</t>
  </si>
  <si>
    <t>Liczba miesięcy w okresie:</t>
  </si>
  <si>
    <t>Określenie przychodu:</t>
  </si>
  <si>
    <t>Przychód</t>
  </si>
  <si>
    <t>(skumulowany rok finansowy)</t>
  </si>
  <si>
    <t>Koszty zmienne</t>
  </si>
  <si>
    <t>Materiały i towary</t>
  </si>
  <si>
    <t>Opłaty zewnętrzne</t>
  </si>
  <si>
    <t>Koszty osobowe</t>
  </si>
  <si>
    <t>Pozostałe koszty zmienne</t>
  </si>
  <si>
    <t>Marża brutto</t>
  </si>
  <si>
    <t>Koszty stałe</t>
  </si>
  <si>
    <t>Wynajem/czynsz</t>
  </si>
  <si>
    <t>Inne koszty stałe</t>
  </si>
  <si>
    <t>Rezerwy, wzrost (-)/ spadek (+)</t>
  </si>
  <si>
    <t>EBITDA; Zysk operacyjny przed amortyzacją</t>
  </si>
  <si>
    <t>Amortyzacja wartości goodwill</t>
  </si>
  <si>
    <t>Amortyzacja innych aktywów</t>
  </si>
  <si>
    <t>EBIT; Zysk operacyjny</t>
  </si>
  <si>
    <t>Przychody i koszty finansowe</t>
  </si>
  <si>
    <t>Przychody i koszty finansowe Plik Finansowanie</t>
  </si>
  <si>
    <t>EBT, Zysk po uwzględn. przychodów i kosztów finans.</t>
  </si>
  <si>
    <t>Zyski i straty nadzwyczajne</t>
  </si>
  <si>
    <t>Zysk (strata) na sprzedaży aktywów</t>
  </si>
  <si>
    <t>Zyski (straty) nadzwyczajne</t>
  </si>
  <si>
    <t>Wynik finans. przed korektami z tyt. amort. i opodatk.</t>
  </si>
  <si>
    <t>Korekty z tyt. różnic w amort. i wartością dobrowol. rezerw</t>
  </si>
  <si>
    <t>Amortyzacja ponad (-) / poniżej (+) amort. kalkulacyjnej</t>
  </si>
  <si>
    <t>Podatek odroczony</t>
  </si>
  <si>
    <t>Udział mniejszościowy</t>
  </si>
  <si>
    <t>Zysk netto okresu</t>
  </si>
  <si>
    <t>Przedmiot inwestycji</t>
  </si>
  <si>
    <t>Zwrot z aktywów netto (RONA) (%)</t>
  </si>
  <si>
    <t>Ekonomiczna wartość dodana (EVA)</t>
  </si>
  <si>
    <t>Zdyskontowana wartość dodana (DCVA)</t>
  </si>
  <si>
    <t>Skumulowana zdyskontowana wartość dodana</t>
  </si>
  <si>
    <t>Zysk operacyjny</t>
  </si>
  <si>
    <t>Zysk operacyjny po opodatkowaniu</t>
  </si>
  <si>
    <t>Grupa</t>
  </si>
  <si>
    <t>Wynik inwestycji przed opodatkowaniem</t>
  </si>
  <si>
    <t>Przychody i koszty finansowe oraz zyski i straty nadzwyczajne</t>
  </si>
  <si>
    <t>Łączny wpływ na opodatkowanie</t>
  </si>
  <si>
    <t>Wpływ na wynik Grupy przed udziałem mniejszościowym</t>
  </si>
  <si>
    <t>Wynik Grupy (skumulowany w roku finansowym)</t>
  </si>
  <si>
    <t>Zwrot z aktywów netto (RONA) Grupy (%)</t>
  </si>
  <si>
    <t>Ekonomiczna wartość dodana (EVA) Grupy</t>
  </si>
  <si>
    <t>Zdyskontowana wartość dodana (DCVA) Grupy</t>
  </si>
  <si>
    <t>Skumulowana zdyskontowana wartość dodana Grupy</t>
  </si>
  <si>
    <t>Zysk operacyjny Grupy</t>
  </si>
  <si>
    <t>Zysk operacyjny po opodatkowaniu Grupy</t>
  </si>
  <si>
    <t>KAPITAŁ OBROTOWY</t>
  </si>
  <si>
    <t>Aktywa krótkoterminowe</t>
  </si>
  <si>
    <t>Średni okres spłaty należności (dni)</t>
  </si>
  <si>
    <t>Należności z tyt. dostaw i usług</t>
  </si>
  <si>
    <t>Należności skorygowane</t>
  </si>
  <si>
    <t>Zmiana stanu należności</t>
  </si>
  <si>
    <t>Pozostałe należności</t>
  </si>
  <si>
    <t>Zmiana stanu pozostałych należności</t>
  </si>
  <si>
    <t>Minimalny stan środków pieniężnych</t>
  </si>
  <si>
    <t>Minimalny stan środków pieniężnych, wzrost (-)/spadek (+)</t>
  </si>
  <si>
    <t>Aktywa bieżące, wzrost (-), spadek (+)</t>
  </si>
  <si>
    <t>Zapasy</t>
  </si>
  <si>
    <t>Wzrost (-), spadek (+) stanu zapasów</t>
  </si>
  <si>
    <t>Skorygowany okres obrotu zapasów (dni)</t>
  </si>
  <si>
    <t>Zobowiązania krótkoterminowe</t>
  </si>
  <si>
    <t>Średni okres obrotu zobowiązań (dni)</t>
  </si>
  <si>
    <t>Zobowiązania z tyt. dostaw i usług</t>
  </si>
  <si>
    <t>Zobowiązania skorygowane</t>
  </si>
  <si>
    <t>Zmiana stanu zobowiązań</t>
  </si>
  <si>
    <t>Pozostałe zobowiązania bieżące</t>
  </si>
  <si>
    <t>Zmiana stanu pozost. zobowiąz. bież., wzrost (+)/spadek (-)</t>
  </si>
  <si>
    <t>Wzrost (+)/spadek (-) stanu zobowiązań bieżących</t>
  </si>
  <si>
    <t>Zmiana kapitału obrotowego</t>
  </si>
  <si>
    <t>Kapitał obrotowy netto</t>
  </si>
  <si>
    <t>RACHUNEK PRZEPŁYWÓW PIENIĘŻNYCH</t>
  </si>
  <si>
    <t>Przepływy pieniężne z działalności operacyjnej</t>
  </si>
  <si>
    <t>Opłaty podłączeniowe</t>
  </si>
  <si>
    <t>Inwestycje w aktywa i sprzedaż aktywów</t>
  </si>
  <si>
    <t>Pozycje Grupy</t>
  </si>
  <si>
    <t>Przejęcia i zbycia</t>
  </si>
  <si>
    <t>Stopa dyskontowa (p.a.)</t>
  </si>
  <si>
    <t>Informacja</t>
  </si>
  <si>
    <t>Wartość użytkowa</t>
  </si>
  <si>
    <t>Przepływy pieniężne finansowania</t>
  </si>
  <si>
    <t>Korekta podatku dochod. dot. przychodów i kosztów finans.</t>
  </si>
  <si>
    <t>Zobowiązania długoterminowe, wzrost (+) / spadek (-)</t>
  </si>
  <si>
    <t>Zmiana stanu oprocentowanych zobowiązań długoterm.</t>
  </si>
  <si>
    <t>Zmiana stanu zobowiąz. długoterm. (plik Finansowanie)</t>
  </si>
  <si>
    <t>Zmiana stanu zobowiązań z tytułu przejęć</t>
  </si>
  <si>
    <t>Zmiana stanu nieoprocentowanych zobowiąz. długoterm.</t>
  </si>
  <si>
    <t>Zmiana stanu pożyczek krótkoterminowych</t>
  </si>
  <si>
    <t>Przepływy dla dostawcy kapitału własnego (FCFE)</t>
  </si>
  <si>
    <t>Zdyskont. przepływy dla dostawcy kapitału własn. (DFCFE)</t>
  </si>
  <si>
    <t>Skumulowane zdyskont. przepływy dla dostawcy kapit. własn.</t>
  </si>
  <si>
    <t>Koszt kapitału własnego (rocznie)</t>
  </si>
  <si>
    <t>Kapitał własny, wzrost (+) / spadek (-)</t>
  </si>
  <si>
    <t>Wzrost kapitału akcyjnego/udziałowego</t>
  </si>
  <si>
    <t>Zmiany nadwyżki ceny emis. nad wart. nomin. udziałów/akcji</t>
  </si>
  <si>
    <t>Zmiana w innych pozycjach kapitału własnego</t>
  </si>
  <si>
    <t>Zmiany w kapitale własnym spółki matki</t>
  </si>
  <si>
    <t>Zmiany w zyskach zatrzymanych</t>
  </si>
  <si>
    <t>Przepływy pieniężne ogółem</t>
  </si>
  <si>
    <t>Skumulowane przepływy pieniężne ogółem</t>
  </si>
  <si>
    <t>BILANS</t>
  </si>
  <si>
    <t>AKTYWA</t>
  </si>
  <si>
    <t>Bilans otwarcia</t>
  </si>
  <si>
    <t>Środki trwałe i inne aktywa trwałe</t>
  </si>
  <si>
    <t>Wartości niematerialne i prawne</t>
  </si>
  <si>
    <t>Wartości prawne</t>
  </si>
  <si>
    <t>Wartości prawne (specyfikacja)</t>
  </si>
  <si>
    <t>- Amortyzacja</t>
  </si>
  <si>
    <t>Skapitalizowane koszty rozwoju</t>
  </si>
  <si>
    <t>Skapitalizowane koszty rozwoju (specyfikacja)</t>
  </si>
  <si>
    <t>Wartość firmy</t>
  </si>
  <si>
    <t>Wartość firmy (specyfikacja)</t>
  </si>
  <si>
    <t>Inne wartości niematerialne i prawne</t>
  </si>
  <si>
    <t>Inne wartości niematerialne i prawne (specyfikacja)</t>
  </si>
  <si>
    <t>Rzeczowy majątek trwały</t>
  </si>
  <si>
    <t>Maszyny i urządzenia</t>
  </si>
  <si>
    <t>Maszyny i urządzenia (specyfikacja)</t>
  </si>
  <si>
    <t>Budynki i budowle</t>
  </si>
  <si>
    <t>Budynki i budowle (specyfikacja)</t>
  </si>
  <si>
    <t>Grunty</t>
  </si>
  <si>
    <t>Grunty (specyfikacja)</t>
  </si>
  <si>
    <t>Przedpłaty i budowa w toku</t>
  </si>
  <si>
    <t>Przedpłaty i budowa w toku (specyfikacja)</t>
  </si>
  <si>
    <t>Inny majątek rzeczowy</t>
  </si>
  <si>
    <t>Inny majątek rzeczowy (specyfikacja)</t>
  </si>
  <si>
    <t>Inwestycje w jednostkach stowarzyszonych</t>
  </si>
  <si>
    <t>Inwestycje w jednost. stowarzyszonych (specyfikacja)</t>
  </si>
  <si>
    <t>Inwestycje w jednost. stowarzyszonych</t>
  </si>
  <si>
    <t>Aktywa z tytułu podatku odroczonego</t>
  </si>
  <si>
    <t>Aktywa z tytułu podatku odroczonego (specyfikacja)</t>
  </si>
  <si>
    <t>Należności z tytułu pożyczek długoterminowych</t>
  </si>
  <si>
    <t>Należności z tytułu pożyczek długoterm. (specyfikacja)</t>
  </si>
  <si>
    <t>Należności z tytułu pożyczek długoterm.</t>
  </si>
  <si>
    <t>Inne inwestycje</t>
  </si>
  <si>
    <t>Inne inwestycje (specyfikacja)</t>
  </si>
  <si>
    <t>Razem majątek trwały</t>
  </si>
  <si>
    <t>Majątek obrotowy</t>
  </si>
  <si>
    <t>Zapasy i produkcja w toku</t>
  </si>
  <si>
    <t>Inne należności</t>
  </si>
  <si>
    <t>Środki pieniężne w kasie i na rachunkach</t>
  </si>
  <si>
    <t>Razem majątek obrotowy</t>
  </si>
  <si>
    <t>Wartość goodwill (przejęcia) Grupy</t>
  </si>
  <si>
    <t>Środki pieniężne w kasie i na rachunkach spółki matki</t>
  </si>
  <si>
    <t>AKTYWA GRUPY</t>
  </si>
  <si>
    <t>PASYWA</t>
  </si>
  <si>
    <t>Nadwyżka ceny emis. nad wart. nomin. udziałów/akcji</t>
  </si>
  <si>
    <t>Inne składniki kapitału własnego</t>
  </si>
  <si>
    <t>Zysk (strata) okresu</t>
  </si>
  <si>
    <t>Razem kapitał własny</t>
  </si>
  <si>
    <t>Skumulow. korekta amort. oraz zmiana stanu rezerw dobrowol.</t>
  </si>
  <si>
    <t>Rezerwy</t>
  </si>
  <si>
    <t>Udziały mniejszościowe</t>
  </si>
  <si>
    <t>Zobowiązania</t>
  </si>
  <si>
    <t>Zobowiązania długoterminowe</t>
  </si>
  <si>
    <t>Oprocentowane zobowiązania długoterminowe</t>
  </si>
  <si>
    <t>Nieoprocentowane zobowiązania długoterminowe</t>
  </si>
  <si>
    <t>Rezerwy z tytułu podatku odroczonego</t>
  </si>
  <si>
    <t>Oprocentowane zobowiązania krótkoterminowe</t>
  </si>
  <si>
    <t>Pożyczki krótkoterminowe</t>
  </si>
  <si>
    <t>Bieżąca część zobowiązań długoterminowych</t>
  </si>
  <si>
    <t>Nieoprocentowane zobowiązania krótkoterminowe</t>
  </si>
  <si>
    <t>Zobowiązania z tytułu dostaw i usług</t>
  </si>
  <si>
    <t>Inne nieoprocentowane zobowiązania krótkoterminowe</t>
  </si>
  <si>
    <t>Rozliczenia międzyokresowe wydatków inwest.</t>
  </si>
  <si>
    <t>Zobowiązania z tytułu podatków</t>
  </si>
  <si>
    <t>Razem zobowiązania</t>
  </si>
  <si>
    <t>Sprawdzenie: Pasywa - Aktywa</t>
  </si>
  <si>
    <t>Zobowiązania długoterminowe oprocentowane</t>
  </si>
  <si>
    <t>PASYWA GRUPY</t>
  </si>
  <si>
    <t>Sprawdzenie: Pasywa (Grupy) - Aktywa (Grupy)</t>
  </si>
  <si>
    <t>Test na trwałą utratę wartości aktywów:</t>
  </si>
  <si>
    <t>Wartość księgowa składnika aktywów</t>
  </si>
  <si>
    <t>Wartość kontrolna (+przyrost kapitału / -utrata wart. aktywów)</t>
  </si>
  <si>
    <t>KLUCZOWE WSKAŹNIKI</t>
  </si>
  <si>
    <t>Mes</t>
  </si>
  <si>
    <t>Trimestre</t>
  </si>
  <si>
    <t>Año</t>
  </si>
  <si>
    <t>% de impuestos</t>
  </si>
  <si>
    <t>Período</t>
  </si>
  <si>
    <t>ID: Mes, trimestre y ejercicio financiero (MMAA)</t>
  </si>
  <si>
    <t>Tarifas de conexión</t>
  </si>
  <si>
    <t>Meses por intervalo</t>
  </si>
  <si>
    <t>Tarifas de conexión, aumento (+) / disminución (-)</t>
  </si>
  <si>
    <t>INVERSIONES (-) / REALIZACIONES (+)</t>
  </si>
  <si>
    <t>Depreciación imputada</t>
  </si>
  <si>
    <t>-% amort.</t>
  </si>
  <si>
    <t>(lineal)</t>
  </si>
  <si>
    <t>Valor contable</t>
  </si>
  <si>
    <t>Valor contable imputado</t>
  </si>
  <si>
    <t>Inversiones</t>
  </si>
  <si>
    <t>Realizaciones</t>
  </si>
  <si>
    <t>Beneficios (+)/ pérdidas (-) de realización</t>
  </si>
  <si>
    <t>Internos</t>
  </si>
  <si>
    <t>Inversiones del grupo</t>
  </si>
  <si>
    <t>Realizaciones del grupo</t>
  </si>
  <si>
    <t>Amortización del grupo</t>
  </si>
  <si>
    <t>Beneficios (+)/ pérdidas (-) de realización del grupo</t>
  </si>
  <si>
    <t>Valor contable del grupo</t>
  </si>
  <si>
    <t>Cálculo de fondo de comercio</t>
  </si>
  <si>
    <t>Método</t>
  </si>
  <si>
    <t>Precio</t>
  </si>
  <si>
    <t>Acción, %</t>
  </si>
  <si>
    <t>Capital en acciones</t>
  </si>
  <si>
    <t>Prima de emisión de acciones</t>
  </si>
  <si>
    <t>Otros fondos propios restringidos</t>
  </si>
  <si>
    <t>Beneficios no distribuidos</t>
  </si>
  <si>
    <t>Beneficios (pérdidas) del período</t>
  </si>
  <si>
    <t>Diferencia de amortización</t>
  </si>
  <si>
    <t>Sobrevalor antes de impuestos por pagar</t>
  </si>
  <si>
    <t>Impuestos diferidos por pagar</t>
  </si>
  <si>
    <t>Sobrevalor</t>
  </si>
  <si>
    <t>Sobrevalor asignado antes de impuestos</t>
  </si>
  <si>
    <t xml:space="preserve">Importe asignado en </t>
  </si>
  <si>
    <t>Depreciación</t>
  </si>
  <si>
    <t>Impuesto diferido por pagar asignado</t>
  </si>
  <si>
    <t>Sobrevalor total asignado</t>
  </si>
  <si>
    <t>Fondo de comercio/fondo de comercio negativo</t>
  </si>
  <si>
    <t>Balanza de fondo de comercio acumulativo</t>
  </si>
  <si>
    <t>Fondo de comercio del grupo</t>
  </si>
  <si>
    <t>Corrección de fondos propios</t>
  </si>
  <si>
    <t>Financiación de la adquisición</t>
  </si>
  <si>
    <t>Fondos propios</t>
  </si>
  <si>
    <t>Deuda a largo plazo con intereses</t>
  </si>
  <si>
    <t>Amortizaciones</t>
  </si>
  <si>
    <t>Costes financieros</t>
  </si>
  <si>
    <t>ESTADO DE RESULTADOS</t>
  </si>
  <si>
    <t>Ingreso especificado:</t>
  </si>
  <si>
    <t>Ingreso</t>
  </si>
  <si>
    <t>Costes variables</t>
  </si>
  <si>
    <t>Materias primas y consumibles</t>
  </si>
  <si>
    <t>Gastos externos</t>
  </si>
  <si>
    <t>Costes de personal</t>
  </si>
  <si>
    <t>Otros costes variables</t>
  </si>
  <si>
    <t>Margen bruto</t>
  </si>
  <si>
    <t>Costes fijos</t>
  </si>
  <si>
    <t>Alquileres</t>
  </si>
  <si>
    <t>Otros costes fijos</t>
  </si>
  <si>
    <t>Provisiones, aumento (-) / disminución (+)</t>
  </si>
  <si>
    <t>EBITDA; ingresos de explotación antes de amortización</t>
  </si>
  <si>
    <t>Amortización de fondo de comercio</t>
  </si>
  <si>
    <t xml:space="preserve">Otras amortizaciones </t>
  </si>
  <si>
    <t>BEI; Ingreso de explotación</t>
  </si>
  <si>
    <t>Ingreso de financiación y otros costes</t>
  </si>
  <si>
    <t>Archivo de ingresos y costes de financiación</t>
  </si>
  <si>
    <t>EBT; Ingresos tras partidas de financiación</t>
  </si>
  <si>
    <t>Ingresos y gastos extraordinarios</t>
  </si>
  <si>
    <t>Beneficios de realización (-pérdidas)</t>
  </si>
  <si>
    <t>Otros ingresos extraordinarios (-gastos)</t>
  </si>
  <si>
    <t>Ingresos antes de dotaciones e impuestos</t>
  </si>
  <si>
    <t>Dotaciones, aumento (-) / disminución (+)</t>
  </si>
  <si>
    <t>Amortización en exceso de (-) / bajo (+) amortización imputada</t>
  </si>
  <si>
    <t>Impuesto diferido</t>
  </si>
  <si>
    <t>Interés minoritario</t>
  </si>
  <si>
    <t>Ingreso neto para el período</t>
  </si>
  <si>
    <t>Objeto de inversión</t>
  </si>
  <si>
    <t>Beneficio sobre activos netos (BAN), %</t>
  </si>
  <si>
    <t>Valor económico añadido (VEA)</t>
  </si>
  <si>
    <t>Valor añadido descontado (VAD)</t>
  </si>
  <si>
    <t>Valor añadido descontado acumulativo</t>
  </si>
  <si>
    <t>Beneficio de explotación</t>
  </si>
  <si>
    <t>Beneficio de explotación neto después de impuestos</t>
  </si>
  <si>
    <t>Grupo</t>
  </si>
  <si>
    <t>Resultado del objeto de la inversión antes de impuestos</t>
  </si>
  <si>
    <t>Partidas financieras y extraordinarias</t>
  </si>
  <si>
    <t>Efecto fiscal total</t>
  </si>
  <si>
    <t>Resultado conjunto antes de deducir la participación minoritaria</t>
  </si>
  <si>
    <t>Participación minoritaria</t>
  </si>
  <si>
    <t>Efecto de resultado de grupo (año fin. acum.)</t>
  </si>
  <si>
    <t>Beneficio sobre activos netos del grupo (BAN), %</t>
  </si>
  <si>
    <t>Valor económico añadido del grupo (VEA)</t>
  </si>
  <si>
    <t>Valor añadido descontado del grupo (VAD)</t>
  </si>
  <si>
    <t>Valor añadido descontado acumulativo del grupo</t>
  </si>
  <si>
    <t>Beneficio de explotación del grupo</t>
  </si>
  <si>
    <t>Beneficio de explotación neto del grupo</t>
  </si>
  <si>
    <t>CAPITAL DE EXPLOTACIÓN</t>
  </si>
  <si>
    <t>Activos a corto plazo</t>
  </si>
  <si>
    <t>Plazo de pago medio de las cuentas a cobrar, días</t>
  </si>
  <si>
    <t>Cuentas a cobrar</t>
  </si>
  <si>
    <t>Cuentas a cobrar ajustadas</t>
  </si>
  <si>
    <t>Cambio en cuentas a cobrar</t>
  </si>
  <si>
    <t>Otras cuentas a cobrar</t>
  </si>
  <si>
    <t>Cambio en otras cuentas a cobrar</t>
  </si>
  <si>
    <t>Efectivo mínimo</t>
  </si>
  <si>
    <t>Efectivo mínimo, aumento (-)/ disminución (+)</t>
  </si>
  <si>
    <t>Activos a corto plazo, aumento (-)/disminución (+)</t>
  </si>
  <si>
    <t>Inventarios</t>
  </si>
  <si>
    <t>Aumento (-) o disminución (+) en inventarios</t>
  </si>
  <si>
    <t>Período de facturación ajustado, días</t>
  </si>
  <si>
    <t>Aumento (-)/disminución (+) de inventarios</t>
  </si>
  <si>
    <t>Pasivo corriente</t>
  </si>
  <si>
    <t>Cuentas a pagar, plazo medio de pago, días</t>
  </si>
  <si>
    <t>Cuentas a pagar</t>
  </si>
  <si>
    <t>Cuentas a pagar ajustadas</t>
  </si>
  <si>
    <t>Cambio en cuentas a pagar, aumento (+)/ dism. (-)</t>
  </si>
  <si>
    <t>Otro pasivo corriente</t>
  </si>
  <si>
    <t>Cambio en otro pasivo corriente, aumento (+)/dism. (-)</t>
  </si>
  <si>
    <t>Aumento (+)/disminución (-) de pasivo corriente</t>
  </si>
  <si>
    <t>Cambio en el capital de explotación</t>
  </si>
  <si>
    <t>Capital de explotación neto</t>
  </si>
  <si>
    <t>ESTADO DE FLUJO DE CAJA</t>
  </si>
  <si>
    <t>Flujo de caja de operaciones</t>
  </si>
  <si>
    <t>Gastos e ingresos extraordinarios</t>
  </si>
  <si>
    <t>Inversiones y realizaciones de activos</t>
  </si>
  <si>
    <t>Elementos del grupo</t>
  </si>
  <si>
    <t>Adquisiciones y realizaciones</t>
  </si>
  <si>
    <t>Efectos fiscales</t>
  </si>
  <si>
    <t>Flujo de caja disponible para la empresa (FCFF)</t>
  </si>
  <si>
    <t>Flujo de caja descontado disponible para la empresa (DFCFF)</t>
  </si>
  <si>
    <t>Flujo de caja descontado disponible para la empresa acumulado</t>
  </si>
  <si>
    <t>Tasa de descuento (por año)</t>
  </si>
  <si>
    <t>Información</t>
  </si>
  <si>
    <t>Valor de uso</t>
  </si>
  <si>
    <t>Flujo de caja financiero</t>
  </si>
  <si>
    <t>Ingresos y gastos financieros</t>
  </si>
  <si>
    <t>Corrección del Impuesto por puestos financieros</t>
  </si>
  <si>
    <t>Deuda a largo plazo, aumento (+)/disminución (-)</t>
  </si>
  <si>
    <t>Cambios en la deuda a largo plazo con interés</t>
  </si>
  <si>
    <t>Cambios en la deuda a largo plazo, archivo de financiación</t>
  </si>
  <si>
    <t>Cambios en la deuda de adquisición empresarial</t>
  </si>
  <si>
    <t>Cambios en la deuda a largo plazo sin intereses</t>
  </si>
  <si>
    <t>Cambios en préstamos a corto plazo</t>
  </si>
  <si>
    <t>Flujo de caja disponible para los accionistas (FCFE)</t>
  </si>
  <si>
    <t>Flujo de caja descontado disponible para los accionistas (DFCFE)</t>
  </si>
  <si>
    <t>Flujo de caja descontado disponible para los accionistas acumulado</t>
  </si>
  <si>
    <t>Coste de los fondos propios (anual)</t>
  </si>
  <si>
    <t>Fondos propios, aumento (+) / dividendos (-)</t>
  </si>
  <si>
    <t>Aumento en el capital en acciones</t>
  </si>
  <si>
    <t>Cambios en la prima de emisión de acciones</t>
  </si>
  <si>
    <t>Cambios en otros fondos propios restringidos</t>
  </si>
  <si>
    <t>Cambios de Capital, casa matriz</t>
  </si>
  <si>
    <t>Variación al resultado acumulado</t>
  </si>
  <si>
    <t>Flujo de caja total</t>
  </si>
  <si>
    <t>Flujo de caja total acumulativo</t>
  </si>
  <si>
    <t>HOJA DE BALANCE</t>
  </si>
  <si>
    <t>ACTIVOS</t>
  </si>
  <si>
    <t>Balance de apertura</t>
  </si>
  <si>
    <t>Activos fijos y otros activos no realizables</t>
  </si>
  <si>
    <t>Activos intangibles</t>
  </si>
  <si>
    <t>Derechos intangibles</t>
  </si>
  <si>
    <t>Derechos intangibles (especificados)</t>
  </si>
  <si>
    <t>Costos de desarrollo capitalizados</t>
  </si>
  <si>
    <t>Costos de desarrollo capitalizados (especificados)</t>
  </si>
  <si>
    <t xml:space="preserve">Costos de desarrollo capitalizados </t>
  </si>
  <si>
    <t>Fondo de comercio</t>
  </si>
  <si>
    <t>Fondo de comercio (especificado)</t>
  </si>
  <si>
    <t>Otros activos intangibles</t>
  </si>
  <si>
    <t>Otros activos intangibles (especificados)</t>
  </si>
  <si>
    <t>Inmovilizaciones materiales</t>
  </si>
  <si>
    <t>Maquinaria y equipos</t>
  </si>
  <si>
    <t>Maquinaria y equipos (especificados)</t>
  </si>
  <si>
    <t>Edificios y estructuras</t>
  </si>
  <si>
    <t>Edificios y estructuras (especificados)</t>
  </si>
  <si>
    <t>Terrenos y aguas</t>
  </si>
  <si>
    <t>Terrenos y aguas (especificados)</t>
  </si>
  <si>
    <t xml:space="preserve">Terrenos y aguas </t>
  </si>
  <si>
    <t>Prepagos y construcción en progreso</t>
  </si>
  <si>
    <t>Prepagos y construcción en progreso (especificados)</t>
  </si>
  <si>
    <t>Otros activos tangibles</t>
  </si>
  <si>
    <t>Otros activos tangibles (especificados)</t>
  </si>
  <si>
    <t>inversiones</t>
  </si>
  <si>
    <t>Inversiones en compañías asociadas</t>
  </si>
  <si>
    <t>Inversiones en compañías asociadas (especificadas)</t>
  </si>
  <si>
    <t>Activo por impuesto diferido</t>
  </si>
  <si>
    <t>Activo por impuesto diferido (especificados)</t>
  </si>
  <si>
    <t>Préstamos a largo plazo 
por cobrar</t>
  </si>
  <si>
    <t>Préstamos a largo plazo 
por cobrar (especificados)</t>
  </si>
  <si>
    <t>Otras inversiones</t>
  </si>
  <si>
    <t>Otras inversiones (especificadas)</t>
  </si>
  <si>
    <t>Activos fijos totales y otros activos no realizables</t>
  </si>
  <si>
    <t>Activos realizables</t>
  </si>
  <si>
    <t>Inventarios y trabajo en curso</t>
  </si>
  <si>
    <t>Caja o banco</t>
  </si>
  <si>
    <t>Total de activos realizables</t>
  </si>
  <si>
    <t>Fondo de comercio positivo (adquisición)</t>
  </si>
  <si>
    <t>Caja y bancos, casa matriz</t>
  </si>
  <si>
    <t>ACTIVOS DE GRUPO</t>
  </si>
  <si>
    <t>FONDOS PROPIOS Y PASIVO DE LOS ACCIONISTAS</t>
  </si>
  <si>
    <t>Fondos propios de los accionistas</t>
  </si>
  <si>
    <t>Fondos propios totales de los accionistas</t>
  </si>
  <si>
    <t>Dotaciones acumuladas</t>
  </si>
  <si>
    <t>Provisiones</t>
  </si>
  <si>
    <t>Pasivo</t>
  </si>
  <si>
    <t>Pasivo a largo plazo</t>
  </si>
  <si>
    <t>Deuda a largo plazo sin intereses</t>
  </si>
  <si>
    <t>Pasivo por impuesto diferido</t>
  </si>
  <si>
    <t>Pasivo a corto plazo</t>
  </si>
  <si>
    <t>Pasivo a corto plazo con intereses</t>
  </si>
  <si>
    <t>Préstamos a corto plazo</t>
  </si>
  <si>
    <t>Porción actual de préstamos a largo plazo</t>
  </si>
  <si>
    <t>Pasivo a corto plazo sin intereses</t>
  </si>
  <si>
    <t>Otra deuda a corto plazo sin intereses</t>
  </si>
  <si>
    <t>Gasto de inversión devengado</t>
  </si>
  <si>
    <t>Deuda tributaria calculada</t>
  </si>
  <si>
    <t>Pasivo total</t>
  </si>
  <si>
    <t>Comprobar: Fondos propios y pasivo - Activos</t>
  </si>
  <si>
    <t>FONDOS PROPIOS Y OBLIGACIONES DEL GRUPO</t>
  </si>
  <si>
    <t>Comprobar: fondos propios y Pasivo - Activos (grupo)</t>
  </si>
  <si>
    <t>Prueba de pérdida de valor</t>
  </si>
  <si>
    <t>Valor contable de activos</t>
  </si>
  <si>
    <t>Valor de control (+ capital de crecimiento / - pérdida de valor)</t>
  </si>
  <si>
    <t>RELACIONES CLAVE</t>
  </si>
  <si>
    <t>Месяц</t>
  </si>
  <si>
    <t>Квартал</t>
  </si>
  <si>
    <t>Год</t>
  </si>
  <si>
    <t>Налог-%</t>
  </si>
  <si>
    <t>Период</t>
  </si>
  <si>
    <t>ID: Месяц, Квартал и Фин. Год (ММГГ)</t>
  </si>
  <si>
    <t>Тарифы за подключение</t>
  </si>
  <si>
    <t>Месяцев за интервал</t>
  </si>
  <si>
    <t>Тарифы за подключение, увеличить (+) / уменьшить (-)</t>
  </si>
  <si>
    <t>ИНВЕСТИЦИИ (-) / ДОХОДЫ ОТ РЕАЛИЗАЦИИ (+)</t>
  </si>
  <si>
    <t>Вмененная амортизация</t>
  </si>
  <si>
    <t>Аморт.-%</t>
  </si>
  <si>
    <t>(линейная)</t>
  </si>
  <si>
    <t>Балансовая стоимость</t>
  </si>
  <si>
    <t>Вмененная балансовая стоимость</t>
  </si>
  <si>
    <t>Инвестиции</t>
  </si>
  <si>
    <t>Доходы от реализации</t>
  </si>
  <si>
    <t>Доходы (+) / расходы (-) от реализации</t>
  </si>
  <si>
    <t>Внутренние</t>
  </si>
  <si>
    <t>Реализации</t>
  </si>
  <si>
    <t>Групповые инвестиции</t>
  </si>
  <si>
    <t>Групповые доходы от реализации</t>
  </si>
  <si>
    <t>Групповая амортизация</t>
  </si>
  <si>
    <t>Групповые доходы (+) / расходы (-) от реализации</t>
  </si>
  <si>
    <t>Групповая балансовая стоимость</t>
  </si>
  <si>
    <t>Вычисление гудвила</t>
  </si>
  <si>
    <t>Метод</t>
  </si>
  <si>
    <t>Цена</t>
  </si>
  <si>
    <t>Доля, %</t>
  </si>
  <si>
    <t>Акционерный капитал</t>
  </si>
  <si>
    <t>Эмиссионная премия</t>
  </si>
  <si>
    <t>Прочий ограниченный собственный капитал</t>
  </si>
  <si>
    <t>Нераспределенная прибыль</t>
  </si>
  <si>
    <t>Прибыль (убыток) за период</t>
  </si>
  <si>
    <t>Разница амортизации</t>
  </si>
  <si>
    <t>Переоценка до налогообложения</t>
  </si>
  <si>
    <t>Обязательства по отложенному налогу</t>
  </si>
  <si>
    <t>Переоценка</t>
  </si>
  <si>
    <t>Распределенная переоценка до налогообложения</t>
  </si>
  <si>
    <t xml:space="preserve">Сумма распределенная на </t>
  </si>
  <si>
    <t>Баланс</t>
  </si>
  <si>
    <t>Распределенное обязательство по отложенным налогам</t>
  </si>
  <si>
    <t>Итого распределенная переоценка</t>
  </si>
  <si>
    <t>Гудвил</t>
  </si>
  <si>
    <t>Кумулятивный баланс гудвила</t>
  </si>
  <si>
    <t>Групповой гудвил</t>
  </si>
  <si>
    <t>Коррекция собственного капитала</t>
  </si>
  <si>
    <t>Финансирование приобретения</t>
  </si>
  <si>
    <t>Собственный капитал</t>
  </si>
  <si>
    <t>Долгосрочная процентная задолженность</t>
  </si>
  <si>
    <t>Погашения задолженностей</t>
  </si>
  <si>
    <t>Расходы на финансирование</t>
  </si>
  <si>
    <t>ОТЧЕТ О ПРИБЫЛЯХ И УБЫТКАХ</t>
  </si>
  <si>
    <t>Составные части Доходов:</t>
  </si>
  <si>
    <t>Доходы</t>
  </si>
  <si>
    <t>(кумулятивное значение за финансовый год)</t>
  </si>
  <si>
    <t>Переменные расходы</t>
  </si>
  <si>
    <t>Сырье и расходные материалы</t>
  </si>
  <si>
    <t>Внешние расходы</t>
  </si>
  <si>
    <t>Расходы на персонал</t>
  </si>
  <si>
    <t>Прочие переменные расходы</t>
  </si>
  <si>
    <t>Валовая маржа</t>
  </si>
  <si>
    <t>Фиксированные расходы</t>
  </si>
  <si>
    <t>Арендные платежи</t>
  </si>
  <si>
    <t>Прочие фиксированные расходы</t>
  </si>
  <si>
    <t>Резервные отчисления, прирост (-) / снижение (+)</t>
  </si>
  <si>
    <t>EBITDA; Прибыль до амортизационных отчислений</t>
  </si>
  <si>
    <t>Амортизация гудвила</t>
  </si>
  <si>
    <t>Прочая амортизация</t>
  </si>
  <si>
    <t>EBIT; Чистая операционная прибыль</t>
  </si>
  <si>
    <t>Финансовые доходы и расходы</t>
  </si>
  <si>
    <t>Финансовые доходы и расходы, Финансовый Файл</t>
  </si>
  <si>
    <t>EBT; Прибыль после финансовых статей</t>
  </si>
  <si>
    <t>Внереализационные доходы и расходы</t>
  </si>
  <si>
    <t>Доходы (-убытки) от реализации</t>
  </si>
  <si>
    <t>Прочие внереализационные доходы (-расходы)</t>
  </si>
  <si>
    <t>Прибыль до вычета ассигнований и налогов</t>
  </si>
  <si>
    <t>Изменения по ассигнованиям</t>
  </si>
  <si>
    <t>Превышение амортизации над (-) / отставание от (+) вменённой</t>
  </si>
  <si>
    <t>Отложенный налог</t>
  </si>
  <si>
    <t>Доля миноритарных акционеров</t>
  </si>
  <si>
    <t>Чистый доход за период</t>
  </si>
  <si>
    <t>Объект инвестирования</t>
  </si>
  <si>
    <t>Рентабельность чистых активов (RONA), %</t>
  </si>
  <si>
    <t>Эконом. Добавленная Стоимость (EVA)</t>
  </si>
  <si>
    <t>Дисконтированная Добавленная Стоимость (DCVA)</t>
  </si>
  <si>
    <t>Кумулятивная Дисконтированная Добавленная Стоимость</t>
  </si>
  <si>
    <t>Операционная прибыль</t>
  </si>
  <si>
    <t>Чистая операционная прибыль после налогов</t>
  </si>
  <si>
    <t>Группа</t>
  </si>
  <si>
    <t>Результат по объекту инвестирования до налогообложения</t>
  </si>
  <si>
    <t>Финансовые и внереализационные статьи</t>
  </si>
  <si>
    <t>Итого налоговый эффект</t>
  </si>
  <si>
    <t>Эффект результата на группу до доли минор. акционеров</t>
  </si>
  <si>
    <t>Эффект результата на группу (кум. фин. год)</t>
  </si>
  <si>
    <t>Рентабельность чистых активов Группы (RONA), %</t>
  </si>
  <si>
    <t>Экономическая Добавленная Стоимость Группы (EVA)</t>
  </si>
  <si>
    <t>Дисконт. Добавленная Стоимость Группы (DCVA)</t>
  </si>
  <si>
    <t>Кум. Дисконт. Добавленная Стоимость Группы</t>
  </si>
  <si>
    <t>Операционная прибыль Группы</t>
  </si>
  <si>
    <t>Чистая операционная прибыль Группы после налогов</t>
  </si>
  <si>
    <t>ОБОРОТНЫЙ КАПИТАЛ</t>
  </si>
  <si>
    <t>Краткосрочные активы</t>
  </si>
  <si>
    <t>Средн. срок выплаты дебиторской задолженности, дни</t>
  </si>
  <si>
    <t>Дебиторская задолженность</t>
  </si>
  <si>
    <t>Скорректированная дебиторская задолженность</t>
  </si>
  <si>
    <t>Изменения по дебиторской задолженности</t>
  </si>
  <si>
    <t>Прочая дебиторская задолженность</t>
  </si>
  <si>
    <t>Изменения по прочей дебиторской задолженности</t>
  </si>
  <si>
    <t>Минимальный остаток наличных денег</t>
  </si>
  <si>
    <t>Мин. остаток наличных денег, прирост (-) / снижение (+)</t>
  </si>
  <si>
    <t>Краткосрочные активы, прирост (-) / снижение (+)</t>
  </si>
  <si>
    <t>Запасы</t>
  </si>
  <si>
    <t>Увеличение (-) или уменьшение (+) запасов</t>
  </si>
  <si>
    <t>Скорректированный период оборота, дни</t>
  </si>
  <si>
    <t>Увеличение (-)/уменьшение (+) запасов</t>
  </si>
  <si>
    <t>Текущие обязательства</t>
  </si>
  <si>
    <t>Кредиторская задолженность, средн. срок выплаты, дни</t>
  </si>
  <si>
    <t>Кредиторская задолженность</t>
  </si>
  <si>
    <t>Скорректированная кредиторская задолженность</t>
  </si>
  <si>
    <t>Изменения по кред. задолж., увелич.(+) / уменьш.(-)</t>
  </si>
  <si>
    <t>Прочие текущие обязательства</t>
  </si>
  <si>
    <t>Изменения по прочим тек. обяз., увелич.(+) / уменьш.(-)</t>
  </si>
  <si>
    <t>Текущие обязательства, увеличение (+)/уменьшение (-)</t>
  </si>
  <si>
    <t>Изменения в Оборотном Капитале</t>
  </si>
  <si>
    <t>Чистый Оборотный Капитал</t>
  </si>
  <si>
    <t>ОТЧЕТ О ДВИЖЕНИИ ДЕНЕЖНЫХ СРЕДСТВ</t>
  </si>
  <si>
    <t>Денежный поток от операционной деятельности</t>
  </si>
  <si>
    <t>Доход</t>
  </si>
  <si>
    <t>Тариф за подключение</t>
  </si>
  <si>
    <t>Инвестиции в активы и доходы от их реализации</t>
  </si>
  <si>
    <t>Групповые статьи</t>
  </si>
  <si>
    <t>Приобретения и реализации</t>
  </si>
  <si>
    <t>Налоговый эффект</t>
  </si>
  <si>
    <t>Учетная ставка (годовая)</t>
  </si>
  <si>
    <t>Информация</t>
  </si>
  <si>
    <t>Стоимость от использования</t>
  </si>
  <si>
    <t>Финансовый Денежный Поток</t>
  </si>
  <si>
    <t>Коррекция подоходного налога для финансовых статей</t>
  </si>
  <si>
    <t>Долгосрочная задолж., увелич.(+) / уменьш.(-)</t>
  </si>
  <si>
    <t>Изменения по долгосрочной процентной задолж.</t>
  </si>
  <si>
    <t>Изменения по долгосрочн. задолж., Финанс. Файл</t>
  </si>
  <si>
    <t>Изменения в задолж. по корп. приобретению</t>
  </si>
  <si>
    <t>Изменения по долгосрочной беспроцентной задолж.</t>
  </si>
  <si>
    <t>Изменения по краткосрочным кредитам и займам</t>
  </si>
  <si>
    <t>Cвоб. денежный поток на собств. капитал (FCFE)</t>
  </si>
  <si>
    <t>Дисконт. своб. денежный поток на собств. капитал (DFCFE)</t>
  </si>
  <si>
    <t>Совокупный дисконт. своб. ден. поток на собств. капитал</t>
  </si>
  <si>
    <t>Стоимость собственного капитала (в год)</t>
  </si>
  <si>
    <t>Собственный капитал, прирост (+) / снижение (-)</t>
  </si>
  <si>
    <t>Изменения по акционерному капиталу</t>
  </si>
  <si>
    <t>Изменения по эмиссионной премии</t>
  </si>
  <si>
    <t>Изменения по прочему огранич. собств. капиталу</t>
  </si>
  <si>
    <t>Изменения по собств. капиталу в материнской комп.</t>
  </si>
  <si>
    <t>Узменения в нераспределённой прибыли</t>
  </si>
  <si>
    <t>Итого Денежный Поток</t>
  </si>
  <si>
    <t>Итого Кумулятивный Денежный Поток</t>
  </si>
  <si>
    <t>БАЛАНСОВЫЙ ОТЧЕТ</t>
  </si>
  <si>
    <t>АКТИВЫ</t>
  </si>
  <si>
    <t>Начальный баланс</t>
  </si>
  <si>
    <t>Основные средства и прочие внеоборотные активы</t>
  </si>
  <si>
    <t>Нематериальные активы</t>
  </si>
  <si>
    <t>Нематериальные права</t>
  </si>
  <si>
    <t>Нематериальные права (указанные)</t>
  </si>
  <si>
    <t>- Амортизация</t>
  </si>
  <si>
    <t>Капитализированные расходы на разработку</t>
  </si>
  <si>
    <t>Капитализированные расходы на разр. (указанные)</t>
  </si>
  <si>
    <t>Капитализированные расходы на разр.</t>
  </si>
  <si>
    <t>Гудвил (указанный)</t>
  </si>
  <si>
    <t>Прочие нематериальные активы</t>
  </si>
  <si>
    <t>Прочие нематериальные активы (указанные)</t>
  </si>
  <si>
    <t>Материальные активы</t>
  </si>
  <si>
    <t>Машины и оборудование</t>
  </si>
  <si>
    <t>Машины и оборудование (указанные)</t>
  </si>
  <si>
    <t>Здания и сооружения</t>
  </si>
  <si>
    <t>Здания и сооружения (указанные)</t>
  </si>
  <si>
    <t>Земля и вода</t>
  </si>
  <si>
    <t>Земля и вода (указанные)</t>
  </si>
  <si>
    <t>Расходы буд. пер. и незаверш. строит.</t>
  </si>
  <si>
    <t>Расходы буд. пер. и незаверш. строит. (указанные)</t>
  </si>
  <si>
    <t>Прочие материальные активы</t>
  </si>
  <si>
    <t>Прочие материальные активы (указанные)</t>
  </si>
  <si>
    <t>Инвестиции в дочерние компании</t>
  </si>
  <si>
    <t>Инвестиции в дочерние компании (указанные)</t>
  </si>
  <si>
    <t>Активы по отложенным налогам</t>
  </si>
  <si>
    <t>Активы по отложенным налогам (указанные)</t>
  </si>
  <si>
    <t>Долгосрочные ссуды к возмещению</t>
  </si>
  <si>
    <t>Долгосрочные ссуды к возмещению (указанные)</t>
  </si>
  <si>
    <t>Прочие инвестиции</t>
  </si>
  <si>
    <t>Прочие инвестиции (указанные)</t>
  </si>
  <si>
    <t>Итого основных средств и прочих внеоборотн. активов</t>
  </si>
  <si>
    <t>Оборотные Активы</t>
  </si>
  <si>
    <t>Запасы и незавершенное производство</t>
  </si>
  <si>
    <t>Банк и касса</t>
  </si>
  <si>
    <t>Итого оборотных активов</t>
  </si>
  <si>
    <t>Гудвил Группы (приобретение)</t>
  </si>
  <si>
    <t>Банк и касса, материнская компания</t>
  </si>
  <si>
    <t>АКТИВЫ ГРУППЫ</t>
  </si>
  <si>
    <t xml:space="preserve">СОБСТВ. КАПИТАЛ И ОБЯЗАТЕЛЬСТВА АКЦИОНЕРОВ </t>
  </si>
  <si>
    <t>Собственный капитал акционеров</t>
  </si>
  <si>
    <t>Прочий ограниченный капитал</t>
  </si>
  <si>
    <t>Итого собственный капитал акционеров</t>
  </si>
  <si>
    <t>Накопленные ассигнования</t>
  </si>
  <si>
    <t>Резервные отчисления</t>
  </si>
  <si>
    <t>Обязательства</t>
  </si>
  <si>
    <t>Долгосрочные обязательства</t>
  </si>
  <si>
    <t>Долгосрочная беспроцентная задолженность</t>
  </si>
  <si>
    <t>Краткосрочные обязательства</t>
  </si>
  <si>
    <t>Краткосрочные процентные обязательства</t>
  </si>
  <si>
    <t>Краткосрочные кредиты и займы</t>
  </si>
  <si>
    <t>Текущая часть по долгосрочным Кредитм</t>
  </si>
  <si>
    <t>Краткосрочные беспроцентные обязательства</t>
  </si>
  <si>
    <t>Прочая краткосрочная беспроцентная задолж.</t>
  </si>
  <si>
    <t>Накопленные инвестиционные расходы</t>
  </si>
  <si>
    <t>Вычисленная задолженность по налогам</t>
  </si>
  <si>
    <t>Итого обязательств</t>
  </si>
  <si>
    <t>СОБСТВЕННЫЙ КАПИТАЛ И ОБЯЗАТЕЛЬСТВА</t>
  </si>
  <si>
    <t>Проверка: Собственный капитал и обязательства - Активы</t>
  </si>
  <si>
    <t>Коррекция величины собственного капитала</t>
  </si>
  <si>
    <t>Обязательства по отложенным налогам</t>
  </si>
  <si>
    <t>СОБСТВЕННЫЕ СРЕДСТВА И ОБЯЗАТЕЛЬСТВА ГРУППЫ</t>
  </si>
  <si>
    <t>Проверка: Собственный капитал и обязательства – Активы (Группы)</t>
  </si>
  <si>
    <t>Тест на обесценение</t>
  </si>
  <si>
    <t>Балансовая стоимость активов</t>
  </si>
  <si>
    <t>Контрольная стоимость (+ прирост капитала / - убыток от обесценения)</t>
  </si>
  <si>
    <t>ФИНАНСОВЫЕ ПОКАЗАТЕЛИ</t>
  </si>
  <si>
    <t>Calculation file</t>
  </si>
  <si>
    <t>Vertailutaulukkoon:</t>
  </si>
  <si>
    <t>Investointiehdotus:</t>
  </si>
  <si>
    <t>Arvonalentumistesti Tosite:</t>
  </si>
  <si>
    <t>K A N N A T T A V U U S A N A L Y Y S I</t>
  </si>
  <si>
    <t>Projektikuvaus</t>
  </si>
  <si>
    <t>Yhtiölle</t>
  </si>
  <si>
    <t>Kokonaisinvestointi, nimellisarvo</t>
  </si>
  <si>
    <t>Diskontatut investoinnit</t>
  </si>
  <si>
    <t>Pääoman tuottovaatimus</t>
  </si>
  <si>
    <t>Tarkasteluaika</t>
  </si>
  <si>
    <t>Laskenta-ajankohta</t>
  </si>
  <si>
    <t>Liiketoiminnan kassavirtojen nykyarvo</t>
  </si>
  <si>
    <t>Kommentit</t>
  </si>
  <si>
    <t>Operatiivisen kassavirran nykyarvo</t>
  </si>
  <si>
    <t>Jäännösarvon nykyarvo</t>
  </si>
  <si>
    <t xml:space="preserve">      Nettokassavirtaan vuodelta</t>
  </si>
  <si>
    <t>Ekstrapolointiaika</t>
  </si>
  <si>
    <t>Laskentakorko</t>
  </si>
  <si>
    <t xml:space="preserve">      Vakio (ei kasvava)</t>
  </si>
  <si>
    <t xml:space="preserve">      Kasvava, vuotuisella prosentilla</t>
  </si>
  <si>
    <t>Oletettu Exit-kerroin</t>
  </si>
  <si>
    <t>Jäännösarvo</t>
  </si>
  <si>
    <t>Nykyarvo yhteensä (PV)</t>
  </si>
  <si>
    <t>Ostetun yhtiön korollinen nettovelka</t>
  </si>
  <si>
    <t>Vapaa kassavirtaperusteinen oma pääoma-arvo (EV)</t>
  </si>
  <si>
    <t>Perusteena EBITDA:</t>
  </si>
  <si>
    <t>Investointiehdotus</t>
  </si>
  <si>
    <t>Nimellinen</t>
  </si>
  <si>
    <t>Nykyarvo</t>
  </si>
  <si>
    <t>Ehdotetut investoinnit, hyödykkeet</t>
  </si>
  <si>
    <t>Investointisubventiot</t>
  </si>
  <si>
    <t>Ehdotetut investoinnit, osakkeet</t>
  </si>
  <si>
    <t xml:space="preserve"> kannattava</t>
  </si>
  <si>
    <t>Nettonykyarvo (NPV)</t>
  </si>
  <si>
    <t xml:space="preserve"> ei kannattava</t>
  </si>
  <si>
    <t>NPV kuukausiannuiteettina</t>
  </si>
  <si>
    <t>Annuiteetti investoinnista</t>
  </si>
  <si>
    <t>Vuosiannuiteetti</t>
  </si>
  <si>
    <t>Omaisuuserän kirjanpitoarvo (A)</t>
  </si>
  <si>
    <t>Käyttöarvo (B)</t>
  </si>
  <si>
    <t>Sisäinen korkokanta (IRR)</t>
  </si>
  <si>
    <t>Sisäinen korkokanta ennen veroja</t>
  </si>
  <si>
    <t>Modifioitu sisäinen korkokanta (MIRR)</t>
  </si>
  <si>
    <t>Suhteellinen nykyarvo (PI)</t>
  </si>
  <si>
    <t>Takaisinmaksuaika (Payback), vuosia</t>
  </si>
  <si>
    <t>Peruste: diskontattu FCF</t>
  </si>
  <si>
    <t>Laskenta-ajankohta, Payback</t>
  </si>
  <si>
    <t>Yksinkertainen Payback, vuosia</t>
  </si>
  <si>
    <t>Peruste: FCF</t>
  </si>
  <si>
    <t>Nettopääoman tuotto (RONA), %</t>
  </si>
  <si>
    <t>DCVA-perusteinen sisäinen korkokanta (IRRd)</t>
  </si>
  <si>
    <t>DCVA-perusteinen modifioitu sisäinen korkokanta (MIRRd)</t>
  </si>
  <si>
    <t>DCVA-perusteinen takaisinmaksuaika, vuosia</t>
  </si>
  <si>
    <t>Omalle pääomalle</t>
  </si>
  <si>
    <t>Oman pääoman tuottovaatimus</t>
  </si>
  <si>
    <t>Diskontattu FCFE ilman jäännösarvoa</t>
  </si>
  <si>
    <t>Jäännösarvon nykyarvo omalle pääomalle</t>
  </si>
  <si>
    <t>Velkajäännöskorjaus</t>
  </si>
  <si>
    <t>Nykyarvo omalle pääomalle (NPVe)</t>
  </si>
  <si>
    <t>NPVe kuukausiannuiteettina</t>
  </si>
  <si>
    <t>Sisäinen korkokanta omalle pääomalle (IRRe)</t>
  </si>
  <si>
    <t>Sisäinen korkokanta omalle pääomalle ennen veroja</t>
  </si>
  <si>
    <t>Modifioitu sisäinen korkokanta omalle pääomalle (MIRRe)</t>
  </si>
  <si>
    <t>Takaisinmaksuaika omalle pääomalle, vuosia</t>
  </si>
  <si>
    <t>Peruste: diskontattu FCFE</t>
  </si>
  <si>
    <t>Yksinkertainen Payback omalle pääomalle, vuosia</t>
  </si>
  <si>
    <t>Peruste: FCFE</t>
  </si>
  <si>
    <t>Laskelman on tehnyt</t>
  </si>
  <si>
    <t>Laskelmatiedosto</t>
  </si>
  <si>
    <t xml:space="preserve">      Näytä johtopäätökset kannattavuusmittareista</t>
  </si>
  <si>
    <t>Till jämförelsetabellen:</t>
  </si>
  <si>
    <t>Investeringsförslag:</t>
  </si>
  <si>
    <t>Nedskrivningsprövning:</t>
  </si>
  <si>
    <t>L Ö N S A M H E T S A N A L Y S</t>
  </si>
  <si>
    <t>Projektbeskrivning</t>
  </si>
  <si>
    <t>Till Företag</t>
  </si>
  <si>
    <t>Totalinvestering, nominellt värde</t>
  </si>
  <si>
    <t>Diskonterade investeringar</t>
  </si>
  <si>
    <t>Avkastningskrav</t>
  </si>
  <si>
    <t>Kalkyltid</t>
  </si>
  <si>
    <t>Kalkyltidpunkt</t>
  </si>
  <si>
    <t>Nuvärde av affärsverksamhetens kassaflöden</t>
  </si>
  <si>
    <t>Kommentarer</t>
  </si>
  <si>
    <t>Nuvärde av operativt kassaflöde</t>
  </si>
  <si>
    <t>Nuvärde av restvärde</t>
  </si>
  <si>
    <t xml:space="preserve">      Nettokassaflöde för år</t>
  </si>
  <si>
    <t>Extrapolering</t>
  </si>
  <si>
    <t xml:space="preserve">      Standard (ingen tillväxt)</t>
  </si>
  <si>
    <t xml:space="preserve">      Växande med tillväxtprocent</t>
  </si>
  <si>
    <t>Antagen Exit-multipel</t>
  </si>
  <si>
    <t>Restvärde</t>
  </si>
  <si>
    <t>Nuvärde totalt (PV)</t>
  </si>
  <si>
    <t>Köpt bolags räntebelagd nettoskuld</t>
  </si>
  <si>
    <t>Fritt kassaflödebaserat eget kapitalvärde (EV)</t>
  </si>
  <si>
    <t>Baserar på EBITDA:</t>
  </si>
  <si>
    <t>Investeringsförslag</t>
  </si>
  <si>
    <t>Nominellt</t>
  </si>
  <si>
    <t>Nuvärde</t>
  </si>
  <si>
    <t>Föreslagna investeringar i tillgångar</t>
  </si>
  <si>
    <t>Investeringsbidrag</t>
  </si>
  <si>
    <t>Föreslagna investeringar i aktier</t>
  </si>
  <si>
    <t xml:space="preserve"> lönsam</t>
  </si>
  <si>
    <t>Nettonuvärde (NPV)</t>
  </si>
  <si>
    <t xml:space="preserve"> ej lönsam</t>
  </si>
  <si>
    <t>NPV som månadsannuitet</t>
  </si>
  <si>
    <t>Annuitet av investering</t>
  </si>
  <si>
    <t>Årsannuitet</t>
  </si>
  <si>
    <t>Egendomspostens bokföringsvärde (A)</t>
  </si>
  <si>
    <t>Nyttjandevärde (B)</t>
  </si>
  <si>
    <t>Internränta (IRR)</t>
  </si>
  <si>
    <t>Internränta före skatt</t>
  </si>
  <si>
    <t>Modifierad internränta (MIRR)</t>
  </si>
  <si>
    <t>Nuvärdeskvot (PI)</t>
  </si>
  <si>
    <t>Återbetalningstid (Payback), år</t>
  </si>
  <si>
    <t>Baserad på diskonterat FCF</t>
  </si>
  <si>
    <t>Kalkyltidpunkt, Payback</t>
  </si>
  <si>
    <t>Enkel Payback, år</t>
  </si>
  <si>
    <t>Baserad på FCF</t>
  </si>
  <si>
    <t>Internränta baserad på DCVA (IRRd)</t>
  </si>
  <si>
    <t>Modifierad internränta baserad på DCVA (MIRRd)</t>
  </si>
  <si>
    <t>Återbetalningstid, år, baserad på DCVA</t>
  </si>
  <si>
    <t>Till Eget kapital</t>
  </si>
  <si>
    <t>Avkastningskrav på eget kapital</t>
  </si>
  <si>
    <t>Diskonterat FCFE utan restvärde</t>
  </si>
  <si>
    <t>Nuvärde av restvärde till eget kapital</t>
  </si>
  <si>
    <t>Skuldresidualkorrigering</t>
  </si>
  <si>
    <t>Nettonuvärde till eget kapital (NPVe)</t>
  </si>
  <si>
    <t>NPVe som månadsannuitet</t>
  </si>
  <si>
    <t>Internränta till eget kapital (IRRe)</t>
  </si>
  <si>
    <t>Internränta till eget kapital före skatt</t>
  </si>
  <si>
    <t>Modifierad internränta till eget kapital (MIRRe)</t>
  </si>
  <si>
    <t>Återbetalningstid till eget kapital, år</t>
  </si>
  <si>
    <t>Baserad på diskonterat FCFE</t>
  </si>
  <si>
    <t>Enkel Payback till eget kapital, år</t>
  </si>
  <si>
    <t>Baserad på FCFE</t>
  </si>
  <si>
    <t>Kalkylen sammanställd av</t>
  </si>
  <si>
    <t>Kalkylfil</t>
  </si>
  <si>
    <t xml:space="preserve">      Visa slutsatser av lönsamhetsindikatorer</t>
  </si>
  <si>
    <t>In der Vergleichstabelle:</t>
  </si>
  <si>
    <t>Investitionsvorschlag:</t>
  </si>
  <si>
    <t>Wertminderungstest:</t>
  </si>
  <si>
    <t>R E N T A B I L I T Ä T S A N A L Y S E</t>
  </si>
  <si>
    <t>Gesamtinvestition, Nominalwert</t>
  </si>
  <si>
    <t>Diskontierte Investitionen</t>
  </si>
  <si>
    <t>Renditeforderung</t>
  </si>
  <si>
    <t>Planungszeitraum</t>
  </si>
  <si>
    <t>Kalkulationszeitpunkt</t>
  </si>
  <si>
    <t>Barwert des betrieblichen Cash Flows</t>
  </si>
  <si>
    <t>Bemerkungen</t>
  </si>
  <si>
    <t>Barwert des operativen Cash Flows</t>
  </si>
  <si>
    <t>Barwert der Restwerte</t>
  </si>
  <si>
    <t xml:space="preserve">      Netto-Cash Flow für das Jahr</t>
  </si>
  <si>
    <t xml:space="preserve">      Jahreswert eingeben</t>
  </si>
  <si>
    <t>Art der Fortführung</t>
  </si>
  <si>
    <t xml:space="preserve">      Standard (kein Zuwachs)</t>
  </si>
  <si>
    <t xml:space="preserve">      Veränderung pro Jahr (in %)</t>
  </si>
  <si>
    <t>Barwert gesamt</t>
  </si>
  <si>
    <t>Verzinsliche Nettoschuld der akquirierten Gesellschaft</t>
  </si>
  <si>
    <t>Basis EBITDA:</t>
  </si>
  <si>
    <t>Investitionsvorschlag</t>
  </si>
  <si>
    <t>Nominalwert</t>
  </si>
  <si>
    <t>Barwert</t>
  </si>
  <si>
    <t>Vorgeschlagene Sachinvestitionen</t>
  </si>
  <si>
    <t>Investitionszuschüsse</t>
  </si>
  <si>
    <t>Vorgeschlagene Investitionen in Beteiligungen</t>
  </si>
  <si>
    <t xml:space="preserve"> rentabel</t>
  </si>
  <si>
    <t>Kapitalwert (NPV)</t>
  </si>
  <si>
    <t xml:space="preserve"> nicht rentabel</t>
  </si>
  <si>
    <t>NPV als Monatsannuität</t>
  </si>
  <si>
    <t>Annuität der Investition</t>
  </si>
  <si>
    <t xml:space="preserve"> Jahresannuität</t>
  </si>
  <si>
    <t>Buchwert der Aktivposten (A)</t>
  </si>
  <si>
    <t>Gebrauchswert (B)</t>
  </si>
  <si>
    <t>Interner Zinsfuss (IRR)</t>
  </si>
  <si>
    <t>Interner Zinsfuss vor Steuern</t>
  </si>
  <si>
    <t>Modifizierter Interner Zinsfuss (MIRR)</t>
  </si>
  <si>
    <t>Profitabilitätsindex (PI)</t>
  </si>
  <si>
    <t>Amortisationsdauer (Payback), Jahre</t>
  </si>
  <si>
    <t xml:space="preserve">Basierend auf diskontiertem FCF </t>
  </si>
  <si>
    <t>Kalkulationszeitpunkt, Payback</t>
  </si>
  <si>
    <t>Einfache Payback-Dauer, Jahre</t>
  </si>
  <si>
    <t>Basierend auf FCF</t>
  </si>
  <si>
    <t>Interner Zinsfuss (IRR) auf Basis DCVA (IRRd)</t>
  </si>
  <si>
    <t>Modifizierter Interner Zinsfuss auf Basis DCVA (MIRRd)</t>
  </si>
  <si>
    <t>Amortisationsdauer auf Basis DCVA, Jahre</t>
  </si>
  <si>
    <t>Eigenkapitalkosten</t>
  </si>
  <si>
    <t>Diskontierter FCFE ohne Residualwert</t>
  </si>
  <si>
    <t>PV des Residualwertes des Eigenkapitals</t>
  </si>
  <si>
    <t>Korrektur für Fremdkapital Residualwert</t>
  </si>
  <si>
    <t>Kapitalwert des Eigenkapitals (NPVe)</t>
  </si>
  <si>
    <t>NPVe als monatliche Annuität</t>
  </si>
  <si>
    <t>Interner Zinsfuß des Eigenkapitals (IRRe)</t>
  </si>
  <si>
    <t>Interner Zinsfuß des Eigenkapitals vor Steuern</t>
  </si>
  <si>
    <t>Modifizierter interner Zinsfuß des Eigenkapitals (MIRRe)</t>
  </si>
  <si>
    <t>Amortisationsdauer des Eigenkapitals in Jahren</t>
  </si>
  <si>
    <t>Basierend auf diskontiertem FCFE</t>
  </si>
  <si>
    <t>Einfache Payback-Dauer des Eigenkapitals, Jahre</t>
  </si>
  <si>
    <t>Basierend auf FCFE</t>
  </si>
  <si>
    <t>Erstellt durch</t>
  </si>
  <si>
    <t>Datei</t>
  </si>
  <si>
    <t xml:space="preserve">      Zeige Folgerungen aus Kennzahlen </t>
  </si>
  <si>
    <t>Do tabeli porównawczej:</t>
  </si>
  <si>
    <t>Propozycja inwestycji</t>
  </si>
  <si>
    <t>Weryfikacja testu na trwałą utratę wartości aktywów:</t>
  </si>
  <si>
    <t>ANALIZA RENTOWNOŚCI</t>
  </si>
  <si>
    <t>Opis projektu</t>
  </si>
  <si>
    <t>Dla Firmy</t>
  </si>
  <si>
    <t>Nominalna wartość inwestycji</t>
  </si>
  <si>
    <t>Inwestycje zdyskont.</t>
  </si>
  <si>
    <t>Oczekiwana stopa zwrotu</t>
  </si>
  <si>
    <t>Okres obliczeniowy</t>
  </si>
  <si>
    <t>Moment obliczeniowy</t>
  </si>
  <si>
    <t>Wartość bieżąca przepływów operacyjnych</t>
  </si>
  <si>
    <t>Uwagi</t>
  </si>
  <si>
    <t>Wartość bieżąca przepływów pieniężnych z dział. operacyjnej</t>
  </si>
  <si>
    <t>Renta wieczysta oparta jest o:</t>
  </si>
  <si>
    <t xml:space="preserve">      Przepływy pieniężne netto za rok</t>
  </si>
  <si>
    <t>Okres ekstrapolacji</t>
  </si>
  <si>
    <t>Rodzaj renty wieczystej</t>
  </si>
  <si>
    <t>Stopa dyskontowa</t>
  </si>
  <si>
    <t xml:space="preserve">      Standardowa (bez wzrostu)</t>
  </si>
  <si>
    <t xml:space="preserve">      Rosnąca rocznie o określony procent</t>
  </si>
  <si>
    <t>Zastosowany mnożnik wartości</t>
  </si>
  <si>
    <t>Wartość rezydualna</t>
  </si>
  <si>
    <t>Wartość bieżąca przepływów pieniężnych</t>
  </si>
  <si>
    <t>Ogółem wartość bieżąca (PV)</t>
  </si>
  <si>
    <t>Oprocentowany dług netto przejmowanej firmy</t>
  </si>
  <si>
    <t>Oparty o EBITDA:</t>
  </si>
  <si>
    <t>Nominalna</t>
  </si>
  <si>
    <t>Wartość bieżąca</t>
  </si>
  <si>
    <t>Propozycja inwestycji w aktywa</t>
  </si>
  <si>
    <t>Dotacje na inwestycje</t>
  </si>
  <si>
    <t>Propozycja inwestycji w akcje/udziały</t>
  </si>
  <si>
    <t xml:space="preserve"> Opłacalny</t>
  </si>
  <si>
    <t>Wartość bieżąca netto (NPV)</t>
  </si>
  <si>
    <t xml:space="preserve"> Nieopłacalny</t>
  </si>
  <si>
    <t>NPV jako miesięczna płatność/annuita</t>
  </si>
  <si>
    <t>Annuita (renta okresowa)</t>
  </si>
  <si>
    <t>Renta roczna</t>
  </si>
  <si>
    <t>Wartość księgowa składnika aktywów (A)</t>
  </si>
  <si>
    <t>Wartość użytkowa (B)</t>
  </si>
  <si>
    <t>Wewnętrzna stopa zwrotu (IRR)</t>
  </si>
  <si>
    <t>Wewnętrzna stopa zwrotu przed opodatkowaniem</t>
  </si>
  <si>
    <t>Zmodyfikowana wewnętrzna stopa zwrotu (MIRR)</t>
  </si>
  <si>
    <t>Indeks rentowności (PI)</t>
  </si>
  <si>
    <t>Okres zwrotu (lata)</t>
  </si>
  <si>
    <t>Ze zdyskontowanych FCF</t>
  </si>
  <si>
    <t>Moment obliczeniowy dla okresu zwrotu</t>
  </si>
  <si>
    <t>Prosty okres zwrotu, lata</t>
  </si>
  <si>
    <t>W oparciu o FCF</t>
  </si>
  <si>
    <t>Zwrot z aktywów netto (RONA), %</t>
  </si>
  <si>
    <t>Wewnętrzna stopa zwrotu oparta o DCVA (IRRd)</t>
  </si>
  <si>
    <t>Zmodyfikowana wewn. stopa zwrotu oparta o DCVA (MIRRd)</t>
  </si>
  <si>
    <t>Okres zwrotu, lata, oparty o DCVA</t>
  </si>
  <si>
    <t>Dla Właścicieli kapitału</t>
  </si>
  <si>
    <t>Koszt kapitału własnego</t>
  </si>
  <si>
    <t>Zdyskontowane FCFE bez wartości rezydulanej</t>
  </si>
  <si>
    <t>Korekta o rezydualną część długu</t>
  </si>
  <si>
    <t>Wartość bieżąca dla dostawcy kapitału własnego (NPVe)</t>
  </si>
  <si>
    <t xml:space="preserve">NPVe jako miesięczna annuita </t>
  </si>
  <si>
    <t>Wewnętrzna stopa zwrotu dla dostawcy kapit. własn. (IRRe)</t>
  </si>
  <si>
    <t>Wewnętrzna stopa zwrotu dla dawców kapitału przed opodatkowaniem</t>
  </si>
  <si>
    <t>Zmod. wewn. stopa zwrotu dla dostawcy kapit. własn.(MIRRe)</t>
  </si>
  <si>
    <t>Okres zwrotu dla dostawcy kapitału własnego, w latach</t>
  </si>
  <si>
    <t>Ze zdyskontowanych FCFE</t>
  </si>
  <si>
    <t>Prosty okres zwrotu dla właścicieli kapitału, lata</t>
  </si>
  <si>
    <t>W oparciu o FCFE</t>
  </si>
  <si>
    <t>Obliczeń dokonał(a)</t>
  </si>
  <si>
    <t>Plik z obliczeniami:</t>
  </si>
  <si>
    <t xml:space="preserve">      Pokaż wnioski ze wskaźników rentowności</t>
  </si>
  <si>
    <t>A la tabla de comparación:</t>
  </si>
  <si>
    <t>Propuesta de inversión:</t>
  </si>
  <si>
    <t>Verificación de la prueba de pérdida de valor:</t>
  </si>
  <si>
    <t>ANALISIS DE RENTABILIDAD</t>
  </si>
  <si>
    <t>Descripción de proyecto</t>
  </si>
  <si>
    <t>Para la empresa</t>
  </si>
  <si>
    <t>Valor nominal de inversiones</t>
  </si>
  <si>
    <t>Inversiones descontadas</t>
  </si>
  <si>
    <t>Tasa de rendimiento requerida</t>
  </si>
  <si>
    <t>Plazo de cálculo</t>
  </si>
  <si>
    <t>Punto de cálculo</t>
  </si>
  <si>
    <t>Valor actual de flujos de caja empresarial</t>
  </si>
  <si>
    <t>Notas</t>
  </si>
  <si>
    <t>Valor actual de flujo de caja operativo</t>
  </si>
  <si>
    <t>Valor actual de valor residual</t>
  </si>
  <si>
    <t>Anualidad perpetua basada en</t>
  </si>
  <si>
    <t xml:space="preserve">      Flujo de caja neto para el año</t>
  </si>
  <si>
    <t>Período de extrapolación</t>
  </si>
  <si>
    <t>Tipo de anualidad perpetua</t>
  </si>
  <si>
    <t>Tasa de descuento</t>
  </si>
  <si>
    <t xml:space="preserve">      Normal (sin crecimiento)</t>
  </si>
  <si>
    <t xml:space="preserve">      Crecimiento por porcentaje anual</t>
  </si>
  <si>
    <t>Valor inicial intrínsico</t>
  </si>
  <si>
    <t>Valor residual</t>
  </si>
  <si>
    <t>Valor actual total (PV)</t>
  </si>
  <si>
    <t>Deuda neta con intereses de empresa adquirida</t>
  </si>
  <si>
    <t>Valor contable de la participación (EV)</t>
  </si>
  <si>
    <t xml:space="preserve">Basado en EBITDA </t>
  </si>
  <si>
    <t>Propuesta de inversión</t>
  </si>
  <si>
    <t>Valor actual</t>
  </si>
  <si>
    <t>Inversiones propuestas en activos</t>
  </si>
  <si>
    <t>Subvenciones de inversión</t>
  </si>
  <si>
    <t>Inversiones propuestas en acciones</t>
  </si>
  <si>
    <t xml:space="preserve"> rentable</t>
  </si>
  <si>
    <t>Valor actual neto (NPV)</t>
  </si>
  <si>
    <t xml:space="preserve"> no rentable</t>
  </si>
  <si>
    <t>NPV como mensualidad</t>
  </si>
  <si>
    <t>Anualidad de inversión</t>
  </si>
  <si>
    <t>Anualidad</t>
  </si>
  <si>
    <t>Valor contable de activos (A)</t>
  </si>
  <si>
    <t>Valor de uso (B)</t>
  </si>
  <si>
    <t>Tasa interna de Retorno (IRR)</t>
  </si>
  <si>
    <t>Tasa interna de Retorno antes de impuestos</t>
  </si>
  <si>
    <t>Tasa interna de Retorno modificada</t>
  </si>
  <si>
    <t>Índice de rentabilidad (PI)</t>
  </si>
  <si>
    <t>Plazo de recuperación, años</t>
  </si>
  <si>
    <t>Del FCF descontado</t>
  </si>
  <si>
    <t>Punto de cálculo, recuperación</t>
  </si>
  <si>
    <t>Período de reembolso, años</t>
  </si>
  <si>
    <t>Del FCF</t>
  </si>
  <si>
    <t>Beneficio sobre activos netos (RONA), %</t>
  </si>
  <si>
    <t>Valor económico añadido (EVA)</t>
  </si>
  <si>
    <t>Valor añadido descontado (DCVA)</t>
  </si>
  <si>
    <t>Tasa de rentabilidad interna basada en DCVA (IRRd)</t>
  </si>
  <si>
    <t>Tasa de rentabilidad interna modificada basada en DCVA (MIRRd)</t>
  </si>
  <si>
    <t>Tiempo de recuperación, años, basado en DCVA</t>
  </si>
  <si>
    <t>Para los accionistas</t>
  </si>
  <si>
    <t>Coste de los fondos propios</t>
  </si>
  <si>
    <t>FCFE descontado sin valor residual</t>
  </si>
  <si>
    <t>Corrección de valor residual</t>
  </si>
  <si>
    <t>Valor actual neto para los accionistas (NPVe)</t>
  </si>
  <si>
    <t>NPV para los accionistas como importe mensual</t>
  </si>
  <si>
    <t>Tasa interna de Retorno para los accionistas (IRRe)</t>
  </si>
  <si>
    <t>Tasa interna de Retorno a Capital antes de impuestos</t>
  </si>
  <si>
    <t>Tasa interna de Retorno modificada para los accionistas (MIRRe)</t>
  </si>
  <si>
    <t>Tiempo de recuperación para los accionistas, años</t>
  </si>
  <si>
    <t>Del FCFE descontado</t>
  </si>
  <si>
    <t>Período de reembolso para los accionistas, años</t>
  </si>
  <si>
    <t>Del FCFE</t>
  </si>
  <si>
    <t>Cálculo realizado por</t>
  </si>
  <si>
    <t>Archivo de cálculo</t>
  </si>
  <si>
    <t xml:space="preserve">      Mostrar conclusiones de indicadores de rentabilidad</t>
  </si>
  <si>
    <t>К таблице сравнения:</t>
  </si>
  <si>
    <t>Инвестиционное Предложение:</t>
  </si>
  <si>
    <t>Верификация теста на обесценение:</t>
  </si>
  <si>
    <t>А Н А Л И З   Р Е Н Т А Б Е Л Ь Н О С Т И</t>
  </si>
  <si>
    <t>Описание проекта</t>
  </si>
  <si>
    <t>Для компании</t>
  </si>
  <si>
    <t>Номинальная стоимость всех инвестиций</t>
  </si>
  <si>
    <t>Дисконт. инвестиции</t>
  </si>
  <si>
    <t>Требуемый уровень доходности</t>
  </si>
  <si>
    <t>Срок вычисления</t>
  </si>
  <si>
    <t>Точка вычисления</t>
  </si>
  <si>
    <t>Текущая стоимость коммерческих денежных потоков</t>
  </si>
  <si>
    <t>Примечания</t>
  </si>
  <si>
    <t>Текущая стоимость операционного денежного потока</t>
  </si>
  <si>
    <t>Текущая стоимость остаточной стоимости</t>
  </si>
  <si>
    <t>Бесконечный денежный поток основан на</t>
  </si>
  <si>
    <t xml:space="preserve">      Чистый денежный поток за год</t>
  </si>
  <si>
    <t>Период экстраполяции</t>
  </si>
  <si>
    <t>Тип бесконечного денежного потока</t>
  </si>
  <si>
    <t>Учетная ставка</t>
  </si>
  <si>
    <t xml:space="preserve">      Стандартная (без увеличения)</t>
  </si>
  <si>
    <t xml:space="preserve">      Прирост по годовой процентной ставке</t>
  </si>
  <si>
    <t>Подразумеваемое конечное кратное</t>
  </si>
  <si>
    <t>Остаточная Стоимость</t>
  </si>
  <si>
    <t>Итого Текущая Стоимость (PV)</t>
  </si>
  <si>
    <t>Чистая процентная задолж. приобретенной компании</t>
  </si>
  <si>
    <t>Стоимость собств. капитала на основе своб. ден. Потока (EV)</t>
  </si>
  <si>
    <t>Основ. на EBITDA:</t>
  </si>
  <si>
    <t>Инвестиционное Предложение</t>
  </si>
  <si>
    <t>Номинал</t>
  </si>
  <si>
    <t>Предполагаемые инвестиции в активы</t>
  </si>
  <si>
    <t>Инвестиционные субсидии</t>
  </si>
  <si>
    <t>Предполагаемые инвестиции в акции</t>
  </si>
  <si>
    <t xml:space="preserve"> Прибыльный</t>
  </si>
  <si>
    <t>Чистая Текущая Стоимость (NPV)</t>
  </si>
  <si>
    <t xml:space="preserve"> Не прибыльный</t>
  </si>
  <si>
    <t>NPV как ежемесячный аннуитет</t>
  </si>
  <si>
    <t>Аннуитет инвестиции</t>
  </si>
  <si>
    <t>Годовой аннуитет</t>
  </si>
  <si>
    <t>Балансовая стоимость активов (А)</t>
  </si>
  <si>
    <t>Cтоимость от использования (В)</t>
  </si>
  <si>
    <t>Внутренняя Норма Доходности (IRR)</t>
  </si>
  <si>
    <t>Внутренняя Норма Доходности до налогообложения</t>
  </si>
  <si>
    <t>Модиф. Внутр. Норма Доходности (MIRR)</t>
  </si>
  <si>
    <t>Индекс Рентабельности (PI)</t>
  </si>
  <si>
    <t>Срок окупаемости, гг.</t>
  </si>
  <si>
    <t>Основ. на дисконтированном FCF</t>
  </si>
  <si>
    <t>Точка вычисления, Окупаемость</t>
  </si>
  <si>
    <t>Простая Окупаемость, лет</t>
  </si>
  <si>
    <t>Основ. на FCF</t>
  </si>
  <si>
    <t>Рентабельность чистых активов (RONA)</t>
  </si>
  <si>
    <t>Экономическая Добавленная Стоимость (EVA)</t>
  </si>
  <si>
    <t>Дисконт. Добавленная Стоимость (DCVA)</t>
  </si>
  <si>
    <t>Внутренняя Норма Доходности, основанная на DCVA (IRRd)</t>
  </si>
  <si>
    <t>Модифицированная Внутренняя Норма Доходности, основанная на DCVA (MIRRd)</t>
  </si>
  <si>
    <t>Время окупаемости, гг., основанное на DCVA</t>
  </si>
  <si>
    <t>Для акционеров</t>
  </si>
  <si>
    <t>Стоимость собственного капитала</t>
  </si>
  <si>
    <t>Дисконтированный FCFE, без остаточной стоимости</t>
  </si>
  <si>
    <t>Тек. стоимость остаточной стоимости на собств. капитал</t>
  </si>
  <si>
    <t xml:space="preserve">      Стандартный (без увеличения)</t>
  </si>
  <si>
    <t>Коррекция остатка задолженности</t>
  </si>
  <si>
    <t>Чистая Текущая Стоимость на собственный капитал (NPVe)</t>
  </si>
  <si>
    <t>NPVe как ежемесячный аннуитет</t>
  </si>
  <si>
    <t>Внутренняя Норма Доходности на собственный капитал (IRRe)</t>
  </si>
  <si>
    <t>Внутренняя Норма Доходности на собственный капитал до налогообложения</t>
  </si>
  <si>
    <t>Модифицированная Внутренняя Норма Доходности на собственный капитал (MIRRe)</t>
  </si>
  <si>
    <t>Время окупаемости на собственный капитал, гг.</t>
  </si>
  <si>
    <t>Основ. на дисконтированном FCFE</t>
  </si>
  <si>
    <t>Простая Окупаемость на Собственный капитал, лет</t>
  </si>
  <si>
    <t>Основ. на FCFE</t>
  </si>
  <si>
    <t>Вычисление выполнено</t>
  </si>
  <si>
    <t>Файл Вычисления</t>
  </si>
  <si>
    <t xml:space="preserve">      Показать выводы индикаторов рентабельности</t>
  </si>
  <si>
    <t>Laskentakoron vaikutus kannattavuuteen</t>
  </si>
  <si>
    <t xml:space="preserve"> Laskentakorko</t>
  </si>
  <si>
    <t xml:space="preserve"> Muutos, %</t>
  </si>
  <si>
    <t xml:space="preserve"> Oman pääoman tuottovaatimus</t>
  </si>
  <si>
    <t>Kokonaisinvestoinnin vaikutus kannattavuuteen</t>
  </si>
  <si>
    <t xml:space="preserve"> Avainluvut</t>
  </si>
  <si>
    <t>Tuottojen vaikutus kannattavuuteen</t>
  </si>
  <si>
    <t xml:space="preserve"> Muutos tuotoissa, %</t>
  </si>
  <si>
    <t>Muuttuvien kulujen vaikutus kannattavuuteen</t>
  </si>
  <si>
    <t xml:space="preserve"> Muutos muuttuvissa kuluissa, %</t>
  </si>
  <si>
    <t>Kiinteiden kulujen vaikutus kannattavuuteen</t>
  </si>
  <si>
    <t xml:space="preserve"> Muutos kiinteissä kuluissa, %</t>
  </si>
  <si>
    <t xml:space="preserve"> Muuttuja</t>
  </si>
  <si>
    <t xml:space="preserve"> Muutos arvossa, %</t>
  </si>
  <si>
    <t xml:space="preserve"> Esimerkkiarvo</t>
  </si>
  <si>
    <t>Kalkylräntans inverkan på lönsamheten</t>
  </si>
  <si>
    <t xml:space="preserve"> Kalkylränta</t>
  </si>
  <si>
    <t xml:space="preserve"> Förändring, %</t>
  </si>
  <si>
    <t xml:space="preserve"> Avkastningskrav på eget kapital</t>
  </si>
  <si>
    <t>Totalinvesteringens inverkan på lönsamheten</t>
  </si>
  <si>
    <t xml:space="preserve"> Nyckeltal</t>
  </si>
  <si>
    <t>Intäkternas inverkan på lönsamheten</t>
  </si>
  <si>
    <t xml:space="preserve"> Förändring i intäkter, %</t>
  </si>
  <si>
    <t>Rörliga kostnaders inverkan på lönsamheten</t>
  </si>
  <si>
    <t xml:space="preserve"> Förändring i rörliga kostn., %</t>
  </si>
  <si>
    <t>Fasta kostnaders inverkan på lönsamheten</t>
  </si>
  <si>
    <t xml:space="preserve"> Förändring i fasta kostn., %</t>
  </si>
  <si>
    <t xml:space="preserve"> Variabel</t>
  </si>
  <si>
    <t xml:space="preserve"> Förändring i värde, %</t>
  </si>
  <si>
    <t xml:space="preserve"> Exempelvärde</t>
  </si>
  <si>
    <t xml:space="preserve"> Kalkulationszinsfuss</t>
  </si>
  <si>
    <t xml:space="preserve"> Änderung, %</t>
  </si>
  <si>
    <t xml:space="preserve"> Eigenkapitalkosten</t>
  </si>
  <si>
    <t xml:space="preserve"> Gesamtinvestition,</t>
  </si>
  <si>
    <t xml:space="preserve"> Kennzahlen</t>
  </si>
  <si>
    <t xml:space="preserve"> Ertragsveränderung, %</t>
  </si>
  <si>
    <t xml:space="preserve"> Variable Kosten, Änderung, %</t>
  </si>
  <si>
    <t xml:space="preserve"> Fixkosten, Änderung,%</t>
  </si>
  <si>
    <t>Die Variable</t>
  </si>
  <si>
    <t>Änderung, %</t>
  </si>
  <si>
    <t>Beispiel Wert</t>
  </si>
  <si>
    <t>Wpływ współczynnika dyskontującego na rentowność</t>
  </si>
  <si>
    <t xml:space="preserve"> Współczynnik dyskontujący</t>
  </si>
  <si>
    <t xml:space="preserve"> Zmiana (%)</t>
  </si>
  <si>
    <t xml:space="preserve"> Koszt kapitału własnego</t>
  </si>
  <si>
    <t>Wpływ łącznej inwestycji na rentowność</t>
  </si>
  <si>
    <t xml:space="preserve"> Kluczowe dane</t>
  </si>
  <si>
    <t>Wpływ przychodu na rentowność</t>
  </si>
  <si>
    <t xml:space="preserve"> Zmiana przychodu (%)</t>
  </si>
  <si>
    <t>Wpływ kosztów zmiennych na rentowność</t>
  </si>
  <si>
    <t xml:space="preserve"> Zmiana kosztów zmiennych (%)</t>
  </si>
  <si>
    <t>Wpływ kosztów stałych na rentowność</t>
  </si>
  <si>
    <t xml:space="preserve"> Zmiana kosztów stałych (%)</t>
  </si>
  <si>
    <t xml:space="preserve"> Wybór przychodu</t>
  </si>
  <si>
    <t xml:space="preserve"> Zmiana wartości (%)</t>
  </si>
  <si>
    <t xml:space="preserve"> Wartość zmiennej</t>
  </si>
  <si>
    <t>Impacto del factor de descuento en la rentabilidad</t>
  </si>
  <si>
    <t xml:space="preserve"> Factor de descuento</t>
  </si>
  <si>
    <t xml:space="preserve"> Cambio, %</t>
  </si>
  <si>
    <t xml:space="preserve"> Coste de los fondos propios</t>
  </si>
  <si>
    <t>Impacto de la inversión total en la rentabilidad</t>
  </si>
  <si>
    <t xml:space="preserve"> Cifras claves</t>
  </si>
  <si>
    <t>Impacto de los ingresos en la rentabilidad</t>
  </si>
  <si>
    <t xml:space="preserve"> Cambio en ingresos, %</t>
  </si>
  <si>
    <t>Impacto de los costes variables en la rentabilidad</t>
  </si>
  <si>
    <t xml:space="preserve"> Cambio en costes variables, %</t>
  </si>
  <si>
    <t>Impacto de los costes fijos en la rentabilidad</t>
  </si>
  <si>
    <t xml:space="preserve"> Cambio en costes fijos, %</t>
  </si>
  <si>
    <t xml:space="preserve"> Cambio en el valor, %</t>
  </si>
  <si>
    <t xml:space="preserve"> Valor de muestra</t>
  </si>
  <si>
    <t>Влияние коэффициента дисконтирования на рентабельность</t>
  </si>
  <si>
    <t>Коэффициент дисконтирования</t>
  </si>
  <si>
    <t>Изменение, %</t>
  </si>
  <si>
    <t>Влияние суммы инвестиций на рентабельность</t>
  </si>
  <si>
    <t>Финансовые показатели</t>
  </si>
  <si>
    <t>Влияние доходов на рентабельность</t>
  </si>
  <si>
    <t>Изменения по Доходам, %</t>
  </si>
  <si>
    <t>Влияние переменных расходов на рентабельность</t>
  </si>
  <si>
    <t>Изменения по Перем. расходам, %</t>
  </si>
  <si>
    <t>Влияние фиксированных расходов на рентабельность</t>
  </si>
  <si>
    <t>Изменения по Фикс. расходам, %</t>
  </si>
  <si>
    <t>Влияние переменной доходов на рентабельность</t>
  </si>
  <si>
    <t>Изменения в стоимости, %</t>
  </si>
  <si>
    <t>Значение переменной</t>
  </si>
  <si>
    <t>Show key figures</t>
  </si>
  <si>
    <t>Operating profit, %</t>
  </si>
  <si>
    <t>Profit before income tax, %</t>
  </si>
  <si>
    <t>Profit for the period from continuing operations, %</t>
  </si>
  <si>
    <t>Profit for the period, %</t>
  </si>
  <si>
    <t>Näytä avainluvut</t>
  </si>
  <si>
    <t>Jatkuvat toiminnot</t>
  </si>
  <si>
    <t>Liikevaihto</t>
  </si>
  <si>
    <t>Liiketoiminnan muut tuotot</t>
  </si>
  <si>
    <t>Aineiden ja tarvikkeiden käyttö</t>
  </si>
  <si>
    <t>Työsuhde-etuuksista aiheutuvat kulut</t>
  </si>
  <si>
    <t>Poistot, arvonalentumiset ja liikearvon arvonalentuminen</t>
  </si>
  <si>
    <t>Liiketoiminnan muut kulut</t>
  </si>
  <si>
    <t>Liikevoitto, %</t>
  </si>
  <si>
    <t>Osuus osakkuusyritysten tuloksesta</t>
  </si>
  <si>
    <t>Rahoituserät netto</t>
  </si>
  <si>
    <t>Voitto ennen veroja</t>
  </si>
  <si>
    <t>Voitto ennen veroja, %</t>
  </si>
  <si>
    <t>Tuloverot</t>
  </si>
  <si>
    <t>Tilikauden voitto jatkuvista toiminnoista</t>
  </si>
  <si>
    <t>Tilikauden voitto jatkuvista toiminnoista, %</t>
  </si>
  <si>
    <t>Lopetetut toiminnot</t>
  </si>
  <si>
    <t>Tilikauden voitto lopetetuista toiminnoista</t>
  </si>
  <si>
    <t>Tilikauden voitto</t>
  </si>
  <si>
    <t>Tilikauden voitto, %</t>
  </si>
  <si>
    <t>Jakautuminen:</t>
  </si>
  <si>
    <t>Emoyhtiön omistajille</t>
  </si>
  <si>
    <t>Vähemmistölle</t>
  </si>
  <si>
    <t>VARAT</t>
  </si>
  <si>
    <t>Pitkäaikaiset varat</t>
  </si>
  <si>
    <t>Aineelliset käyttöomaisuushyödykkeet</t>
  </si>
  <si>
    <t>Osuudet osakkuusyrityksissä</t>
  </si>
  <si>
    <t>Muut pitkäaikaiset sijoitukset</t>
  </si>
  <si>
    <t>Pitkäaikaiset varat yhteensä</t>
  </si>
  <si>
    <t>Lyhytaikaiset varat</t>
  </si>
  <si>
    <t>Myyntisaamiset ja muut saamiset</t>
  </si>
  <si>
    <t>Rahavarat</t>
  </si>
  <si>
    <t>Lyhytaikaiset varat yhteensä</t>
  </si>
  <si>
    <t>Varat yhteensä</t>
  </si>
  <si>
    <t>OMA PÄÄOMA</t>
  </si>
  <si>
    <t>Emoyhtiön omistajille kuuluva oma pääoma</t>
  </si>
  <si>
    <t>Muu oma pääoma</t>
  </si>
  <si>
    <t>Vähemmistön osuus</t>
  </si>
  <si>
    <t>VELAT</t>
  </si>
  <si>
    <t>Pitkäaikaiset velat</t>
  </si>
  <si>
    <t>Korolliset velat</t>
  </si>
  <si>
    <t>Muut velat</t>
  </si>
  <si>
    <t>Pitkäaikaiset velat yhteensä</t>
  </si>
  <si>
    <t>Lyhytaikaiset korolliset velat</t>
  </si>
  <si>
    <t>Kauden verotettavaan tuloon perustuvat verovelat</t>
  </si>
  <si>
    <t>Ostovelat ja muut velat</t>
  </si>
  <si>
    <t>Lyhytaikaiset velat yhteensä</t>
  </si>
  <si>
    <t>Velat yhteensä</t>
  </si>
  <si>
    <t>Oma pääoma ja velat yhteensä</t>
  </si>
  <si>
    <t>Liiketoiminnan rahavirrat</t>
  </si>
  <si>
    <t>Liiketulos ennen poistoja, jatkuvat toiminnot</t>
  </si>
  <si>
    <t>Liiketoimet joihin ei liity maksutapahtumaa</t>
  </si>
  <si>
    <t>Osinkotuotot</t>
  </si>
  <si>
    <t>Tulorahoitus, jatkuvat toiminnot</t>
  </si>
  <si>
    <t>Käyttöpääoman muutokset</t>
  </si>
  <si>
    <t>Liiketoiminnan nettorahavirta, jatkuvat toiminnot</t>
  </si>
  <si>
    <t>Liiketoiminnan nettorahavirta, lopetetut toiminnot</t>
  </si>
  <si>
    <t>Liiketoiminnan nettorahavirta</t>
  </si>
  <si>
    <t>Investointien rahavirrat</t>
  </si>
  <si>
    <t>Käyttöomaisuushankinnat</t>
  </si>
  <si>
    <t>Osakehankinnat</t>
  </si>
  <si>
    <t>Käyttöomaisuushyödykkeiden myynti</t>
  </si>
  <si>
    <t>Osakemyynnit</t>
  </si>
  <si>
    <t>Muut investoinnit</t>
  </si>
  <si>
    <t>Nettorahavirta käytetty investointeihin jatkuviin toimintoihin</t>
  </si>
  <si>
    <t>Nettorahavirta käytetty investointeihin lopetettuihin toimintoihin</t>
  </si>
  <si>
    <t>Investointien nettorahavirta</t>
  </si>
  <si>
    <t>Rahavirta ennen rahoitustoimintoja</t>
  </si>
  <si>
    <t>Rahoituksen rahavirrat</t>
  </si>
  <si>
    <t>Lainojen muutos, netto</t>
  </si>
  <si>
    <t>Maksetut osingot</t>
  </si>
  <si>
    <t>Muut rahoituserät</t>
  </si>
  <si>
    <t>Nettorahavirta käytetty rahoittamaan jatkuvia toimintoja</t>
  </si>
  <si>
    <t>Nettorahavirta käytetty rahoittamaan lopetettuja toimintoja</t>
  </si>
  <si>
    <t>Rahoituksen nettorahavirta</t>
  </si>
  <si>
    <t>Rahavarojen muutos</t>
  </si>
  <si>
    <t>Rahavarojen muutos, jatkuvat toiminnot</t>
  </si>
  <si>
    <t>Visa nyckeltal</t>
  </si>
  <si>
    <t>Löpande verksamhet</t>
  </si>
  <si>
    <t>Försäljning</t>
  </si>
  <si>
    <t>Material och tillbehör</t>
  </si>
  <si>
    <t>Anställningsförmåner</t>
  </si>
  <si>
    <t>Avskrivningar, värdeminskningar och nedskrivningar</t>
  </si>
  <si>
    <t>Övriga kostnader</t>
  </si>
  <si>
    <t>Rörelseresultat</t>
  </si>
  <si>
    <t>Rörelseresultat, %</t>
  </si>
  <si>
    <t>Andel i intressebolags resultat</t>
  </si>
  <si>
    <t>Finansiella poster netto</t>
  </si>
  <si>
    <t>Resultat före skatter</t>
  </si>
  <si>
    <t>Resultat före skatter, %</t>
  </si>
  <si>
    <t>Periodens resultat för löpande verksamhet</t>
  </si>
  <si>
    <t>Periodens resultat för löpande verksamhet, %</t>
  </si>
  <si>
    <t>Avvecklad verksamhet</t>
  </si>
  <si>
    <t>Periodens resultat för avvecklad verksamhet</t>
  </si>
  <si>
    <t>Periodens resultat</t>
  </si>
  <si>
    <t>Periodens resultat, %</t>
  </si>
  <si>
    <t>Hänförligt till:</t>
  </si>
  <si>
    <t>Moderbolagets aktieägare</t>
  </si>
  <si>
    <t>Anläggningstillgångar</t>
  </si>
  <si>
    <t>Fastigheter, maskiner och inventarier</t>
  </si>
  <si>
    <t>Kapitalandelar i intresseföretag</t>
  </si>
  <si>
    <t>Övriga långfristiga investeringar</t>
  </si>
  <si>
    <t>Uppskjutna skattefordringar</t>
  </si>
  <si>
    <t>Långfristiga räntebärande fordringar</t>
  </si>
  <si>
    <t>Summa anläggningstillgångar</t>
  </si>
  <si>
    <t>Kortfristiga fordringar</t>
  </si>
  <si>
    <t>Kassa och bank</t>
  </si>
  <si>
    <t>Summa omsättningstillgångar</t>
  </si>
  <si>
    <t>Summa tillgångar</t>
  </si>
  <si>
    <t>EGET KAPITAL</t>
  </si>
  <si>
    <t>Eget kapital hänförligt till aktieägarna</t>
  </si>
  <si>
    <t>Övrigt eget kapital</t>
  </si>
  <si>
    <t>Summa</t>
  </si>
  <si>
    <t>Summa eget kapital</t>
  </si>
  <si>
    <t>SKULDER</t>
  </si>
  <si>
    <t>Långfristiga skulder</t>
  </si>
  <si>
    <t>Räntebärande långfristiga skulder</t>
  </si>
  <si>
    <t>Övriga långfristiga skulder</t>
  </si>
  <si>
    <t>Summa långfristiga skulder</t>
  </si>
  <si>
    <t>Räntebärande kortfristiga skulder</t>
  </si>
  <si>
    <t>Aktuell skatteskuld</t>
  </si>
  <si>
    <t>Leverantörskulder och övriga kortfristiga skulder</t>
  </si>
  <si>
    <t>Summa kortfristiga skulder</t>
  </si>
  <si>
    <t>Summa skulder</t>
  </si>
  <si>
    <t>Summa eget kapital och skulder</t>
  </si>
  <si>
    <t>Kassaflöde från löpande verksamhet</t>
  </si>
  <si>
    <t>Rörelseresultat före avskrivningar av löpande verksamhet</t>
  </si>
  <si>
    <t>Ej kassapåverkande poster och desinvesteringar</t>
  </si>
  <si>
    <t>Utdelningsintäkter</t>
  </si>
  <si>
    <t>Kassaflöde från löpande verksamhet före förändring av rörelsekapital</t>
  </si>
  <si>
    <t>Kassaflöde från avvecklad verksamhet</t>
  </si>
  <si>
    <t>Kassaflöde från verksamhet</t>
  </si>
  <si>
    <t>Kassaflöde från investeringsverksamheten</t>
  </si>
  <si>
    <t>Investering i materiella tillgångar</t>
  </si>
  <si>
    <t>Aktieförvärv</t>
  </si>
  <si>
    <t>Försäljning av materiella tillgångar</t>
  </si>
  <si>
    <t>Aktieförsäljning</t>
  </si>
  <si>
    <t>Förändring i övriga investeringar</t>
  </si>
  <si>
    <t>Kassaflöde från investeringar i löpande verksamhet</t>
  </si>
  <si>
    <t>Kassaflöde från investeringar i avvecklad verksamhet</t>
  </si>
  <si>
    <t>Kassaflöde före finansieringsverksamhet</t>
  </si>
  <si>
    <t>Kassaflöde från finansieringsverksamheten</t>
  </si>
  <si>
    <t>Nettoförändring i lån</t>
  </si>
  <si>
    <t>Utbetald utdelning till moderbolagets aktieägare</t>
  </si>
  <si>
    <t>Övriga finansiella poster</t>
  </si>
  <si>
    <t>Kassaflöde från finansiering av löpande verksamhet</t>
  </si>
  <si>
    <t>Kassaflöde från finansiering av avvecklad verksamhet</t>
  </si>
  <si>
    <t>Ökning (+)/minskning (-) in kassa och bank</t>
  </si>
  <si>
    <t>Ökning (+)/minskning (-) in kassa och bank, löpande verksamhet</t>
  </si>
  <si>
    <t>Kennzahlen anzeigen</t>
  </si>
  <si>
    <t>Fortgeführte Geschäftsbereiche</t>
  </si>
  <si>
    <t>Umsatzerlöse</t>
  </si>
  <si>
    <t>Sonstige betriebliche Erträge</t>
  </si>
  <si>
    <t>Aufwendungen für Roh-, Hilfs- und Betriebsstoffe</t>
  </si>
  <si>
    <t>Personalaufwand</t>
  </si>
  <si>
    <t>Sonstige betriebliche Aufwendungen</t>
  </si>
  <si>
    <t>Betriebsergebnis, %</t>
  </si>
  <si>
    <t>Erträge aus assoziierten Unternehmen</t>
  </si>
  <si>
    <t>Finanzierungsposten</t>
  </si>
  <si>
    <t>Gewinn vor Steuern</t>
  </si>
  <si>
    <t>Gewinn vor Steuern, %</t>
  </si>
  <si>
    <t>Ertragsteueraufwand</t>
  </si>
  <si>
    <t>Gewinn nach Steuern aus fortgeführten Geschäftsbereichen</t>
  </si>
  <si>
    <t>Gewinn nach Steuern aus fortgeführten Geschäftsbereichen, %</t>
  </si>
  <si>
    <t>Eingestellte Geschäftsbereiche</t>
  </si>
  <si>
    <t>Gewinn/Verlust aus der Einstellung von Geschäftsbereichen</t>
  </si>
  <si>
    <t>Jahresergebnis</t>
  </si>
  <si>
    <t>Jahresergebnis, %</t>
  </si>
  <si>
    <t>Davon entfallen auf:</t>
  </si>
  <si>
    <t>Die Gesellschafter der Muttergesellschaft</t>
  </si>
  <si>
    <t>Minderheitsgesellschafter</t>
  </si>
  <si>
    <t>VERMÖGENSWERTE</t>
  </si>
  <si>
    <t>Langfristige Vermögenswerte</t>
  </si>
  <si>
    <t>Sachanlagen</t>
  </si>
  <si>
    <t>Anteile an assoziierten Unternehmen</t>
  </si>
  <si>
    <t>Sonstige langfristige Investitionen</t>
  </si>
  <si>
    <t>Langfristige Zinsen erbringende Forderungen</t>
  </si>
  <si>
    <t>Summe langfristige Vermögenswerte</t>
  </si>
  <si>
    <t>Kurzfristige Vermögenswerte</t>
  </si>
  <si>
    <t>Forderungen aus Lieferungen und Leistungen</t>
  </si>
  <si>
    <t>Bankguthaben und Kassenbestand</t>
  </si>
  <si>
    <t>Summe kurzfristige Vermögenswerte</t>
  </si>
  <si>
    <t>Bilanzsumme</t>
  </si>
  <si>
    <t>EIGENKAPITAL</t>
  </si>
  <si>
    <t>Den Anteilseignern zurechenbarer Anteil am Eigenkapital</t>
  </si>
  <si>
    <t>Gezeichnetes Kapital</t>
  </si>
  <si>
    <t>Sonstige Eigenkapital</t>
  </si>
  <si>
    <t>Summe</t>
  </si>
  <si>
    <t>SCHULDEN</t>
  </si>
  <si>
    <t>Langfristige Schulden</t>
  </si>
  <si>
    <t>Bankdarlehen</t>
  </si>
  <si>
    <t>Langfristige Rückstellungen</t>
  </si>
  <si>
    <t>Sonstige Verbindlichkeiten</t>
  </si>
  <si>
    <t>Summe langfristige Schulden</t>
  </si>
  <si>
    <t>Kurzfristige Schulden</t>
  </si>
  <si>
    <t xml:space="preserve">Verzinsliche Verbindlichkeiten </t>
  </si>
  <si>
    <t>Steuerschulden</t>
  </si>
  <si>
    <t>Kontokorrentkredite und Bankdarlehen</t>
  </si>
  <si>
    <t>Summe kurzfristige Schulden</t>
  </si>
  <si>
    <t>Summe Schulden</t>
  </si>
  <si>
    <t>Cashflows aus laufender Tätigkeit</t>
  </si>
  <si>
    <t>Betriebsergebnis vor Abschreibungen, fortgeführte Geschäftsbereiche</t>
  </si>
  <si>
    <t>Nicht-Cashflow-Posten und Deinvestitionsaktivitäten</t>
  </si>
  <si>
    <t>Nettofinanzposten</t>
  </si>
  <si>
    <t>Erhaltene Dividenden</t>
  </si>
  <si>
    <t>Gezahlte Ertragsteuern</t>
  </si>
  <si>
    <t>Aus laufender Geschäftstätigkeit erwirtschaftete Zahlungsmittel</t>
  </si>
  <si>
    <t>Veränderungen im Nettoumlaufvermögen</t>
  </si>
  <si>
    <t>Nettozufluss (/-abfluss) an Zahlungsmitteln aus betrieblicher Tätigkeit</t>
  </si>
  <si>
    <t>Nettozufluss (/-abfluss) an Zahlungsmitteln aus betrieblicher Tätigkeit, eingestellte Geschäftsbereiche</t>
  </si>
  <si>
    <t>Gesamter Nettozufluss (/-abfluss) an Zahlungsmitteln aus betrieblicher Tätigkeit</t>
  </si>
  <si>
    <t>Cashflows aus Investitionstätigkeit</t>
  </si>
  <si>
    <t>Investitionen in Sachanlagen + Immaterielles Anlagevermögen</t>
  </si>
  <si>
    <t>Erwerb von Beteiligungen</t>
  </si>
  <si>
    <t>Verkauf von Sachanlagen</t>
  </si>
  <si>
    <t>Verkauf von Beteiligungen</t>
  </si>
  <si>
    <t>Veränderungen in sonstigen Investitionen</t>
  </si>
  <si>
    <t>Nettoabfluss an Zahlungsmitteln aus Investitionstätigkeiten, fortgeführte Geschäftsbereiche</t>
  </si>
  <si>
    <t>Nettoabfluss an Zahlungsmitteln aus Investitionstätigkeiten, eingestellte Geschäftsbereiche</t>
  </si>
  <si>
    <t>Nettoabfluss an Zahlungsmitteln aus Investitionstätigkeit</t>
  </si>
  <si>
    <t>Cashflow vor Finanzierungsaktivitäten</t>
  </si>
  <si>
    <t>Cashflows aus Finanzierungstätigkeit</t>
  </si>
  <si>
    <t>Nettoveränderung bei Krediten</t>
  </si>
  <si>
    <t>Gezahlte Dividenden</t>
  </si>
  <si>
    <t>Sonstige finanzielle Posten</t>
  </si>
  <si>
    <t>Nettoabfluss an Zahlungsmitteln aus Finanzierungstätigkeiten, fortgeführte Geschäftsbereiche</t>
  </si>
  <si>
    <t>Nettoabfluss an Zahlungsmitteln aus Finanzierungstätigkeiten, eingestellte Geschäftsbereiche</t>
  </si>
  <si>
    <t>Nettozufluss (/-abfluss) an Zahlungsmitteln aus Finanzierungstätigkeit</t>
  </si>
  <si>
    <t>Nettozunahme (/-abnahme) von Zahlungsmitteln und Zahlungsmitteläquivalenten</t>
  </si>
  <si>
    <t>Nettozunahme (/-abnahme) von Zahlungsmitteln und Zahlungsmitteläquivalenten, laufender Tätigkeit</t>
  </si>
  <si>
    <t>Pokaż kluczowe dane</t>
  </si>
  <si>
    <t>Działalność operacyjna kontynuowana</t>
  </si>
  <si>
    <t>Przychód ze sprzedaży</t>
  </si>
  <si>
    <t>Inne przychody</t>
  </si>
  <si>
    <t>Koszty materiałów i usług</t>
  </si>
  <si>
    <t>Koszty świadczeń pracowniczych</t>
  </si>
  <si>
    <t>Umorzenia, odpisy amortyzacyjne i z tytułu trwałej utraty wartości</t>
  </si>
  <si>
    <t>Inne koszty</t>
  </si>
  <si>
    <t>Zysk na działalności operacyjnej</t>
  </si>
  <si>
    <t>Zysk na działalności operacyjnej (%)</t>
  </si>
  <si>
    <t>Udział w zyskach jednostek stowarzyszonych i wspólnych przedsięwzięć</t>
  </si>
  <si>
    <t>Zysk przed opodatkowaniem</t>
  </si>
  <si>
    <t>Zysk przed opodatkowaniem (%)</t>
  </si>
  <si>
    <t>Zysk za dany okres z działalności operacyjnej kontynuowanej</t>
  </si>
  <si>
    <t>Zysk za dany okres z działalności operacyjnej (%)</t>
  </si>
  <si>
    <t>Działalność zaniechana</t>
  </si>
  <si>
    <t>Zysk za dany okres z działalności zaniechanej</t>
  </si>
  <si>
    <t>Zysk za dany okres</t>
  </si>
  <si>
    <t>Zysk za dany okres (%)</t>
  </si>
  <si>
    <t>Przypisany do:</t>
  </si>
  <si>
    <t>Właścicieli firmy</t>
  </si>
  <si>
    <t>Udziałów mniejszości</t>
  </si>
  <si>
    <t>Aktywa trwałe</t>
  </si>
  <si>
    <t>Wartości niematerialne</t>
  </si>
  <si>
    <t>Środki trwałe</t>
  </si>
  <si>
    <t>Inwestycje w spółkach stowarzyszonych</t>
  </si>
  <si>
    <t>Inne inwestycje długoterminowe</t>
  </si>
  <si>
    <t>Należności długoterminowe oprocentowane</t>
  </si>
  <si>
    <t>Aktywa trwałe razem</t>
  </si>
  <si>
    <t>Aktywa obrotowe</t>
  </si>
  <si>
    <t>Należności handlowe oraz inne należności</t>
  </si>
  <si>
    <t>Środki pieniężne i ekwiwalenty środków pieniężnych</t>
  </si>
  <si>
    <t>Aktywa obrotowe razem</t>
  </si>
  <si>
    <t>Aktywa razem</t>
  </si>
  <si>
    <t>KAPITAŁ WŁASNY</t>
  </si>
  <si>
    <t>Kapitał i rezerwy własne</t>
  </si>
  <si>
    <t>Kapitał udziałowy/ akcyjny</t>
  </si>
  <si>
    <t>Inne środki</t>
  </si>
  <si>
    <t>Udziały mniejszości</t>
  </si>
  <si>
    <t>Kapitał własny razem</t>
  </si>
  <si>
    <t>ZOBOWIĄZANIA</t>
  </si>
  <si>
    <t>Zobowiązania oprocentowane</t>
  </si>
  <si>
    <t>Inne zobowiązania</t>
  </si>
  <si>
    <t>Zobowiązania długoterminowe razem</t>
  </si>
  <si>
    <t>Zobowiązania z tytułu podatku dochodowego</t>
  </si>
  <si>
    <t>Zobowiązania handlowe i inne zobowiązania</t>
  </si>
  <si>
    <t>Zobowiązania krótkoterminowe razem</t>
  </si>
  <si>
    <t>Zobowiązania razem</t>
  </si>
  <si>
    <t>Pasywa razem</t>
  </si>
  <si>
    <t>Zysk przed odpisami amort. z dział. operacyjnej kontynuowanej</t>
  </si>
  <si>
    <t>Pozycje niekasowe oraz działalność dezinwestycyjna</t>
  </si>
  <si>
    <t xml:space="preserve">Otrzymane dywidendy </t>
  </si>
  <si>
    <t>Podatki</t>
  </si>
  <si>
    <t>Przepływy pieniężne z kontynuowanej działalności operacyjnej</t>
  </si>
  <si>
    <t>Zmiana stanu kapitału obrotowego</t>
  </si>
  <si>
    <t>Przepływy pieniężne z dział. operacyjnej kontynuowanej</t>
  </si>
  <si>
    <t>Przepływy pieniężne z dział. operacyjnej, dział. zaniechana</t>
  </si>
  <si>
    <t>Przepływy pieniężne z działalności operacyjnej razem</t>
  </si>
  <si>
    <t>Przepływy pieniężne z działalności inwestycyjnej</t>
  </si>
  <si>
    <t>Wydatki inwestycyjne</t>
  </si>
  <si>
    <t>Nabycie udziałów/akcji</t>
  </si>
  <si>
    <t>Wpływy ze sprzedaży środków trwałych</t>
  </si>
  <si>
    <t>Wpływy ze sprzedaży udziałów/akcji</t>
  </si>
  <si>
    <t>Zmiana stanu innych inwestycji</t>
  </si>
  <si>
    <t>Przepływy pieniężne z dział. inwest., dział. kontynuowana</t>
  </si>
  <si>
    <t>Przepływy pieniężne z działalności inwestycyjnej, dział. zaniechana</t>
  </si>
  <si>
    <t>Przepływy pieniężne z działalności inwestycyjnej razem</t>
  </si>
  <si>
    <t>Przepływy pieniężne przed działalnością finansową</t>
  </si>
  <si>
    <t>Przepływy pieniężne z działalności finansowej</t>
  </si>
  <si>
    <t>Spłaty pożyczek i kredytów</t>
  </si>
  <si>
    <t>Dywidendy wypłacone udziałowcom/akcjonariuszom</t>
  </si>
  <si>
    <t>Inne wydatki</t>
  </si>
  <si>
    <t>Przepływy pieniężne z dział. finans., dział. kontynuowana</t>
  </si>
  <si>
    <t>Przepływy pieniężne z dział. finansowej, działalność zaniechana</t>
  </si>
  <si>
    <t>Przepływy pieniężne z działalności finansowej razem</t>
  </si>
  <si>
    <t>Wzrost (+)/ spadek (-) stanu środków pieniężnych razem</t>
  </si>
  <si>
    <t>Wzrost (+)/ spadek (-) stanu środków pieniężnych, dział. kontynuow.</t>
  </si>
  <si>
    <t>Mostrar cifras clave</t>
  </si>
  <si>
    <t>Operaciones corrientes</t>
  </si>
  <si>
    <t>Ventas</t>
  </si>
  <si>
    <t>Otros ingresos</t>
  </si>
  <si>
    <t>Materiales y suministros</t>
  </si>
  <si>
    <t>Relación costo-beneficio  empleado</t>
  </si>
  <si>
    <t>Depreciación, amortización y gastos por deterioro</t>
  </si>
  <si>
    <t>Otros gastos</t>
  </si>
  <si>
    <t>Ganancia operativa</t>
  </si>
  <si>
    <t>Ganancia operativa, %</t>
  </si>
  <si>
    <t xml:space="preserve">Participación de las compañías asociadas y las joint ventures en las utilidades </t>
  </si>
  <si>
    <t>Actividades financieras neto</t>
  </si>
  <si>
    <t>Ganancia antes de impuestos</t>
  </si>
  <si>
    <t>Ganancia antes de impuestos, %</t>
  </si>
  <si>
    <t>Gastos en impuestos sobre ingreso</t>
  </si>
  <si>
    <t xml:space="preserve">Ganancia por operaciones corrientes del periodo </t>
  </si>
  <si>
    <t>Ganancia por operaciones corrientes del periodo , %</t>
  </si>
  <si>
    <t>Operaciones discountinuadas</t>
  </si>
  <si>
    <t>Ganancias por operaciones discountinuadas del periodo</t>
  </si>
  <si>
    <t>Ganancia total del periodo</t>
  </si>
  <si>
    <t>Ganancia total del periodo, %</t>
  </si>
  <si>
    <t>Atribuíble a:</t>
  </si>
  <si>
    <t>Accionistas de la compañía</t>
  </si>
  <si>
    <t>Activos no correintes</t>
  </si>
  <si>
    <t>Inmuebles, planta y equipo</t>
  </si>
  <si>
    <t>Inversión en compañías asociadas</t>
  </si>
  <si>
    <t>Otras inversiones de largo plazo</t>
  </si>
  <si>
    <t>Intereses a largo plazo por cobrar</t>
  </si>
  <si>
    <t>Tatal de activos no corrientes</t>
  </si>
  <si>
    <t>Activos corrientes</t>
  </si>
  <si>
    <t>Existencias</t>
  </si>
  <si>
    <t>Cuentas comerciales por cobrar y otras cuentas por cobrar</t>
  </si>
  <si>
    <t>Caja y equivalentes de caja</t>
  </si>
  <si>
    <t>Total de activos corrientes</t>
  </si>
  <si>
    <t>Total de activos</t>
  </si>
  <si>
    <t>PATRIMONIO</t>
  </si>
  <si>
    <t>Capital y reservas atribuibles a accionistas de la compañía</t>
  </si>
  <si>
    <t>Capital accionario</t>
  </si>
  <si>
    <t>Otro capital accionario</t>
  </si>
  <si>
    <t>Total acciones</t>
  </si>
  <si>
    <t>PASIVOS</t>
  </si>
  <si>
    <t>Pasivos no corrientes</t>
  </si>
  <si>
    <t>Pasivos que devengan intereses</t>
  </si>
  <si>
    <t>Otros pasivos</t>
  </si>
  <si>
    <t>Total de pasivos no corrientes</t>
  </si>
  <si>
    <t>Pasivos corrientes</t>
  </si>
  <si>
    <t>Impuestos corrientes por pagar</t>
  </si>
  <si>
    <t>Cuentas comerciales y otras cuentas por pagar</t>
  </si>
  <si>
    <t>Total de pasivos corrientes</t>
  </si>
  <si>
    <t>Total pasivos</t>
  </si>
  <si>
    <t>Total patrimonio y pasivos</t>
  </si>
  <si>
    <t>Flujo de efectivo por actividades operativas</t>
  </si>
  <si>
    <t>Ganancia operativa previa a depreciación derivada de operaciones corrientes</t>
  </si>
  <si>
    <t>Partidas no monetarias y actividades de desinversión</t>
  </si>
  <si>
    <t>Partidas financieras neto</t>
  </si>
  <si>
    <t>Dividendos recibidos</t>
  </si>
  <si>
    <t>Impuestos</t>
  </si>
  <si>
    <t>Fondos por operaciones, operaciones corrientes</t>
  </si>
  <si>
    <t>Cambios en capital de trabajo</t>
  </si>
  <si>
    <t>efectivo neto por actividades operativas operaciones corrientes</t>
  </si>
  <si>
    <t>Efectivo neto por actividades operativas operaciones no corrientes</t>
  </si>
  <si>
    <t>Total de efectivo neto por actividades operativas</t>
  </si>
  <si>
    <t>Flujo de efectivo por actividades de inversión</t>
  </si>
  <si>
    <t>Desembolsos de capital</t>
  </si>
  <si>
    <t>Adquisición de acciones</t>
  </si>
  <si>
    <t>Ingresos por venta de activos fijos</t>
  </si>
  <si>
    <t>Ingresos por venta de acciones</t>
  </si>
  <si>
    <t>Cambios en otras inversiones</t>
  </si>
  <si>
    <t>Efectivo neto utilizado en actividades de inversión de operaciones corrientes</t>
  </si>
  <si>
    <t>Efectivo neto utilizado en actividades de inversión de operaciones discontinuadas</t>
  </si>
  <si>
    <t>Total de efectivo neto utilizado en actividades de inversión</t>
  </si>
  <si>
    <t>Flujo de efectivo previo a actividades financieras</t>
  </si>
  <si>
    <t>Flujo de efectivo por actividades financieras</t>
  </si>
  <si>
    <t>Cambio neto en préstamos</t>
  </si>
  <si>
    <t>Dividendos pagos a los accionistas de la compañía</t>
  </si>
  <si>
    <t>Otras actividades financieras</t>
  </si>
  <si>
    <t>Efectivo neto utilizado en actividades financieras de operaciones corrientes</t>
  </si>
  <si>
    <t>Efectivo neto utilizado en actividades financieras de operaciones dicontinuadas</t>
  </si>
  <si>
    <t>Total de efectivo neto utilizado en actividades financieras</t>
  </si>
  <si>
    <t xml:space="preserve">Incremento total neto (+)/ disminución total neta (-) en efectivo y títulos valores </t>
  </si>
  <si>
    <t xml:space="preserve">Incremento total neto (+)/ disminución total neta (-) en efectivo, operaciones corrientes </t>
  </si>
  <si>
    <t>Показать основные значения</t>
  </si>
  <si>
    <t>Продолжающиеся операции</t>
  </si>
  <si>
    <t>Продажи</t>
  </si>
  <si>
    <t>Другие доходы</t>
  </si>
  <si>
    <t>Материалы и услуги</t>
  </si>
  <si>
    <t>Расходы на выплаты сотрудникам</t>
  </si>
  <si>
    <t>Амортизация, износ и отчисления по обесценению</t>
  </si>
  <si>
    <t>Прочие расходы</t>
  </si>
  <si>
    <t>Операционная прибыль, %</t>
  </si>
  <si>
    <t>Доля прибыли ассоциированных и совместных предприятий</t>
  </si>
  <si>
    <t>Чистые финансовые статьи</t>
  </si>
  <si>
    <t>Прибыль до вычета подоходного налога</t>
  </si>
  <si>
    <t>Прибыль до вычета подоходного налога, %</t>
  </si>
  <si>
    <t>Расходы по подоходному налогу</t>
  </si>
  <si>
    <t>Прибыль за период от продолжающихся операций</t>
  </si>
  <si>
    <t>Прибыль за период от продолжающихся операций, %</t>
  </si>
  <si>
    <t>Прекращенные операции</t>
  </si>
  <si>
    <t>Прибыль за период от прекращенных операций</t>
  </si>
  <si>
    <t>Прибыль за период</t>
  </si>
  <si>
    <t>Прибыль за период, %</t>
  </si>
  <si>
    <t>Относящаяся к:</t>
  </si>
  <si>
    <t>Акционерам компании</t>
  </si>
  <si>
    <t>Миноритарным акционерам</t>
  </si>
  <si>
    <t>Внеоборотные активы</t>
  </si>
  <si>
    <t>Собственность, здания и оборудование</t>
  </si>
  <si>
    <t>Инвестиции в ассоциированные предприятия</t>
  </si>
  <si>
    <t>Прочие долгосрочные инвестиции</t>
  </si>
  <si>
    <t>Отложенные налоговые активы</t>
  </si>
  <si>
    <t>Долгосрочные процентные дебиторские задолженности</t>
  </si>
  <si>
    <t>Итого внеоборотных активов</t>
  </si>
  <si>
    <t>Оборотные активы</t>
  </si>
  <si>
    <t>Торговые и прочие дебиторские задолженности</t>
  </si>
  <si>
    <t>Денежные средства и их эквиваленты</t>
  </si>
  <si>
    <t>Итого активов</t>
  </si>
  <si>
    <t>СОБСТВЕННЫЙ КАПИТАЛ</t>
  </si>
  <si>
    <t>Капитал и резервы относящиеся к акционерам компании</t>
  </si>
  <si>
    <t>Прочий собственный капитал</t>
  </si>
  <si>
    <t xml:space="preserve">Итого </t>
  </si>
  <si>
    <t>Итого собственный капитал</t>
  </si>
  <si>
    <t>ОБЯЗАТЕЛЬСТВА</t>
  </si>
  <si>
    <t>Процентные обязательства</t>
  </si>
  <si>
    <t>Прочие обязательства</t>
  </si>
  <si>
    <t>Итого долгосрочные обязательства</t>
  </si>
  <si>
    <t>Текущие налоговые обязательства</t>
  </si>
  <si>
    <t>Торговые и прочие кредиторские задолженности</t>
  </si>
  <si>
    <t>Итого текущие обязательства</t>
  </si>
  <si>
    <t>Итого обязательства</t>
  </si>
  <si>
    <t>Итого собственный капитал и обязательства</t>
  </si>
  <si>
    <t>Поток денежных средств от операционной деятельности</t>
  </si>
  <si>
    <t>Операц. прибыль до вычета амортизации, продолж. операции</t>
  </si>
  <si>
    <t>Статьи, не относ. к потоку ден. средств и Деят. по реализации активов</t>
  </si>
  <si>
    <t>Полученные дивиденды</t>
  </si>
  <si>
    <t>Налоги</t>
  </si>
  <si>
    <t>Денежные средства от операций, продолжающиеся операции</t>
  </si>
  <si>
    <t>Изменение в Оборотном Капитале</t>
  </si>
  <si>
    <t>Чистые ден. средства от операций, продолжающиеся операции</t>
  </si>
  <si>
    <t>Чистые денежные средства от операций, прекращенные операции</t>
  </si>
  <si>
    <t>Итого чистые ден. средства от операционной деятельности</t>
  </si>
  <si>
    <t>Поток денежных средств от инвестиционной деятельности</t>
  </si>
  <si>
    <t>Капитальные расходы</t>
  </si>
  <si>
    <t>Приобретение акций</t>
  </si>
  <si>
    <t>Поступления от реализации основных средств</t>
  </si>
  <si>
    <t>Поступления от продажи акций</t>
  </si>
  <si>
    <t>Изменение по прочим инвестициям</t>
  </si>
  <si>
    <t>Чистые ден. средства исп. в инвест. деятельности, продолж. оп.</t>
  </si>
  <si>
    <t>Чистые ден. средства исп. в инвест. деятельности, прекращ. оп.</t>
  </si>
  <si>
    <t>Итого чистые денежные средства исп. в инвест. деятельности</t>
  </si>
  <si>
    <t>Поток денежных средст до финансовой деятельности</t>
  </si>
  <si>
    <t>Поток денежных средств от финансовой деятельности</t>
  </si>
  <si>
    <t>Чистое изменение по Кредитм</t>
  </si>
  <si>
    <t>Дивиденды выплаченные акционерам компании</t>
  </si>
  <si>
    <t>Прочие финансовые статьи</t>
  </si>
  <si>
    <t>Чистые ден. средства исп. в фин. деятельности, продолж. оп.</t>
  </si>
  <si>
    <t>Чистые ден. средства исп. в фин. деятельности, прекращ. оп.</t>
  </si>
  <si>
    <t>Итого чистые ден. средства исп. в финансовой деятельности</t>
  </si>
  <si>
    <t>Итого прирост (+)/сниж. (-) ден. средств и рын. ценных бумаг</t>
  </si>
  <si>
    <t>Итого прирост (+)/сниж. (-) ден. средств, продолж. операции</t>
  </si>
  <si>
    <t xml:space="preserve">  Projektname</t>
  </si>
  <si>
    <t>Projektname</t>
  </si>
  <si>
    <t>IRRLimit</t>
  </si>
  <si>
    <t>IRRLimitEquity</t>
  </si>
  <si>
    <t xml:space="preserve">  Ertragsteuersatz (%)</t>
  </si>
  <si>
    <t>Ertragsteuern</t>
  </si>
  <si>
    <t>Wartość kapitału własnego oparta o wolne przepływy (EV)</t>
  </si>
  <si>
    <t>Auf Basis des FCFF</t>
  </si>
  <si>
    <t>Auf Basis des FCFE</t>
  </si>
  <si>
    <t>Sensitivität Änderung Kalkulationszinsfuss</t>
  </si>
  <si>
    <t>Sonstige ausserordentliche Erträge und Aufwendungen</t>
  </si>
  <si>
    <t>Extrapolation Perioden</t>
  </si>
  <si>
    <t>Kalkulationszinsfuss</t>
  </si>
  <si>
    <t>Implizierter Exit-Multiplikator</t>
  </si>
  <si>
    <t>Wert des Eigenkapitals auf Basis Free Cash Flow (EV)</t>
  </si>
  <si>
    <t>Anschlussgebühren, Zunahme (+) / Abnahme (-)</t>
  </si>
  <si>
    <t>Anslutningsavgifter, ökning (+) / minskning (-)</t>
  </si>
  <si>
    <t>Intäkter specificerad:</t>
  </si>
  <si>
    <t>Linjär</t>
  </si>
  <si>
    <t>(linjär)</t>
  </si>
  <si>
    <t>Added in 36007</t>
  </si>
  <si>
    <t>ElimGroupsInUse</t>
  </si>
  <si>
    <t>ElimGroups</t>
  </si>
  <si>
    <t>ElimSheetInUse</t>
  </si>
  <si>
    <t>Use con-</t>
  </si>
  <si>
    <t>secutively</t>
  </si>
  <si>
    <t>ElimTxt</t>
  </si>
  <si>
    <t>Elimination</t>
  </si>
  <si>
    <t>Eliminointi</t>
  </si>
  <si>
    <t>Eliminering</t>
  </si>
  <si>
    <t>Eliminierungen</t>
  </si>
  <si>
    <t>Eliminacje</t>
  </si>
  <si>
    <t>Eliminaciones</t>
  </si>
  <si>
    <t>Исключение взаиморасчётов</t>
  </si>
  <si>
    <t>ConsTxt</t>
  </si>
  <si>
    <t>Consolidated</t>
  </si>
  <si>
    <t>Konsolidoitu</t>
  </si>
  <si>
    <t>Konsoliderat</t>
  </si>
  <si>
    <t>Konsolidiert</t>
  </si>
  <si>
    <t>Skonsolidowane</t>
  </si>
  <si>
    <t>Consolidado</t>
  </si>
  <si>
    <t>Консолидированный</t>
  </si>
  <si>
    <t>ElimSheet</t>
  </si>
  <si>
    <t>Row</t>
  </si>
  <si>
    <t>Cond</t>
  </si>
  <si>
    <t>Text column</t>
  </si>
  <si>
    <t>x0001</t>
  </si>
  <si>
    <t>x0002</t>
  </si>
  <si>
    <t>Sensitivität der Gesamtinvestition auf die Profitabilität</t>
  </si>
  <si>
    <t>Sensitivität des Ertrags auf die Profitabilität</t>
  </si>
  <si>
    <t>Sensitivität der variablen Kosten auf die Profitabilität</t>
  </si>
  <si>
    <t>Sensitivität der Fixkosten auf die Profitabilität</t>
  </si>
  <si>
    <t>Info about fixes in G2!</t>
  </si>
  <si>
    <t>ElimsApply</t>
  </si>
  <si>
    <t>0=don't apply</t>
  </si>
  <si>
    <t>1=apply all</t>
  </si>
  <si>
    <t>2=apply groups</t>
  </si>
  <si>
    <t>C9041</t>
  </si>
  <si>
    <t>C9042</t>
  </si>
  <si>
    <t>C9043</t>
  </si>
  <si>
    <t>C9044</t>
  </si>
  <si>
    <t>C9045</t>
  </si>
  <si>
    <t>C2114</t>
  </si>
  <si>
    <t>C2115</t>
  </si>
  <si>
    <t>C2117</t>
  </si>
  <si>
    <t>C2118</t>
  </si>
  <si>
    <t>C2181</t>
  </si>
  <si>
    <t>C2182</t>
  </si>
  <si>
    <t>C2183</t>
  </si>
  <si>
    <t>C2184</t>
  </si>
  <si>
    <t xml:space="preserve">CASH FLOW STATEMENT </t>
  </si>
  <si>
    <t>RAHAVIRTALASKELMA</t>
  </si>
  <si>
    <t>GEWINN- UND -VERLUSTRECHNUNG</t>
  </si>
  <si>
    <t>KAPITALFLUSSRECHNUNG</t>
  </si>
  <si>
    <t>RACHUNEK PRZEPŁ. PIENIĘŻNYCH</t>
  </si>
  <si>
    <t>BALANCE GENERAL</t>
  </si>
  <si>
    <t>ESTADO DE FLUJO DE EFECTIVO</t>
  </si>
  <si>
    <t>C4006</t>
  </si>
  <si>
    <t>C4007</t>
  </si>
  <si>
    <t>C4008</t>
  </si>
  <si>
    <t>C4009</t>
  </si>
  <si>
    <t>C4017</t>
  </si>
  <si>
    <t>C4018</t>
  </si>
  <si>
    <t>C4019</t>
  </si>
  <si>
    <t>C4027</t>
  </si>
  <si>
    <t>C4028</t>
  </si>
  <si>
    <t>C4029</t>
  </si>
  <si>
    <t>C4031</t>
  </si>
  <si>
    <t>C4032</t>
  </si>
  <si>
    <t>C4033</t>
  </si>
  <si>
    <t>CodList01</t>
  </si>
  <si>
    <t>RowList01</t>
  </si>
  <si>
    <t>VarList01</t>
  </si>
  <si>
    <t>C8241</t>
  </si>
  <si>
    <t>C8242</t>
  </si>
  <si>
    <t>C8243</t>
  </si>
  <si>
    <t>C8244</t>
  </si>
  <si>
    <t>C8245</t>
  </si>
  <si>
    <t>C8246</t>
  </si>
  <si>
    <t>C8247</t>
  </si>
  <si>
    <t>C8248</t>
  </si>
  <si>
    <t>C8249</t>
  </si>
  <si>
    <t>C8250</t>
  </si>
  <si>
    <t>C8251</t>
  </si>
  <si>
    <t>C8252</t>
  </si>
  <si>
    <t>C8253</t>
  </si>
  <si>
    <t>C8254</t>
  </si>
  <si>
    <t>C8255</t>
  </si>
  <si>
    <t>C8256</t>
  </si>
  <si>
    <t>C8257</t>
  </si>
  <si>
    <t>C8258</t>
  </si>
  <si>
    <t>C8259</t>
  </si>
  <si>
    <t>C8260</t>
  </si>
  <si>
    <t>C2081</t>
  </si>
  <si>
    <t>C3081</t>
  </si>
  <si>
    <t>C3091</t>
  </si>
  <si>
    <t>C2082</t>
  </si>
  <si>
    <t>C3082</t>
  </si>
  <si>
    <t>C3092</t>
  </si>
  <si>
    <t>C2083</t>
  </si>
  <si>
    <t>C3083</t>
  </si>
  <si>
    <t>FinIncludeEquity</t>
  </si>
  <si>
    <t>FinIncludeDebt</t>
  </si>
  <si>
    <t>IncVar3</t>
  </si>
  <si>
    <t>IncVar4</t>
  </si>
  <si>
    <t>IncVar5</t>
  </si>
  <si>
    <t>IncVar6</t>
  </si>
  <si>
    <t>IncVarAnalysis2</t>
  </si>
  <si>
    <t>IncVarAnalysis3</t>
  </si>
  <si>
    <t>IncVarAnalysis4</t>
  </si>
  <si>
    <t>IncVarAnalysis5</t>
  </si>
  <si>
    <t>IncVarAnalysis6</t>
  </si>
  <si>
    <t>Analysis07Ratio01</t>
  </si>
  <si>
    <t>Analysis07Ratio02</t>
  </si>
  <si>
    <t>Analysis07Ratio03</t>
  </si>
  <si>
    <t>Analysis07Ratio04</t>
  </si>
  <si>
    <t>Analysis07Ratio05</t>
  </si>
  <si>
    <t>Analysis07Ratio06</t>
  </si>
  <si>
    <t>Analysis08Ratio01</t>
  </si>
  <si>
    <t>Analysis08Ratio02</t>
  </si>
  <si>
    <t>Analysis08Ratio03</t>
  </si>
  <si>
    <t>Analysis08Ratio04</t>
  </si>
  <si>
    <t>Analysis08Ratio05</t>
  </si>
  <si>
    <t>Analysis08Ratio06</t>
  </si>
  <si>
    <t>Analysis09Ratio01</t>
  </si>
  <si>
    <t>Analysis09Ratio02</t>
  </si>
  <si>
    <t>Analysis09Ratio03</t>
  </si>
  <si>
    <t>Analysis09Ratio04</t>
  </si>
  <si>
    <t>Analysis09Ratio05</t>
  </si>
  <si>
    <t>Analysis09Ratio06</t>
  </si>
  <si>
    <t>Analysis10Ratio01</t>
  </si>
  <si>
    <t>Analysis10Ratio02</t>
  </si>
  <si>
    <t>Analysis10Ratio03</t>
  </si>
  <si>
    <t>Analysis10Ratio04</t>
  </si>
  <si>
    <t>Analysis10Ratio05</t>
  </si>
  <si>
    <t>Analysis10Ratio06</t>
  </si>
  <si>
    <t>Analysis11Ratio01</t>
  </si>
  <si>
    <t>Analysis11Ratio02</t>
  </si>
  <si>
    <t>Analysis11Ratio03</t>
  </si>
  <si>
    <t>Analysis11Ratio04</t>
  </si>
  <si>
    <t>Analysis11Ratio05</t>
  </si>
  <si>
    <t>Analysis11Ratio06</t>
  </si>
  <si>
    <t>InventoriesSpec</t>
  </si>
  <si>
    <t>InventFirstName</t>
  </si>
  <si>
    <t>C2084</t>
  </si>
  <si>
    <t>C3084</t>
  </si>
  <si>
    <t>C3094</t>
  </si>
  <si>
    <t>Accounts receivable 2</t>
  </si>
  <si>
    <t>Accounts receivable 3</t>
  </si>
  <si>
    <t>Inventories 2</t>
  </si>
  <si>
    <t>Inventories 3</t>
  </si>
  <si>
    <t>Inventories 4</t>
  </si>
  <si>
    <t>Inventories 5</t>
  </si>
  <si>
    <t>Accounts receivable 4</t>
  </si>
  <si>
    <t>Accounts receivable 5</t>
  </si>
  <si>
    <t>C3011</t>
  </si>
  <si>
    <t>C3012</t>
  </si>
  <si>
    <t>C3013</t>
  </si>
  <si>
    <t>C3014</t>
  </si>
  <si>
    <t>C3021</t>
  </si>
  <si>
    <t>C3022</t>
  </si>
  <si>
    <t>C3023</t>
  </si>
  <si>
    <t>C3024</t>
  </si>
  <si>
    <t>C3831</t>
  </si>
  <si>
    <t>C3832</t>
  </si>
  <si>
    <t>C3833</t>
  </si>
  <si>
    <t>C3834</t>
  </si>
  <si>
    <t>C3931</t>
  </si>
  <si>
    <t>C3934</t>
  </si>
  <si>
    <t>C3932</t>
  </si>
  <si>
    <t>C3933</t>
  </si>
  <si>
    <t>C3121</t>
  </si>
  <si>
    <t>C3131</t>
  </si>
  <si>
    <t>C3122</t>
  </si>
  <si>
    <t>C3132</t>
  </si>
  <si>
    <t>C3123</t>
  </si>
  <si>
    <t>C3133</t>
  </si>
  <si>
    <t>C3124</t>
  </si>
  <si>
    <t>C3134</t>
  </si>
  <si>
    <t>C3841</t>
  </si>
  <si>
    <t>C3842</t>
  </si>
  <si>
    <t>C3843</t>
  </si>
  <si>
    <t>C3844</t>
  </si>
  <si>
    <t>C3941</t>
  </si>
  <si>
    <t>C3942</t>
  </si>
  <si>
    <t>C3943</t>
  </si>
  <si>
    <t>C3944</t>
  </si>
  <si>
    <t>Invento01</t>
  </si>
  <si>
    <t>Invento02</t>
  </si>
  <si>
    <t>Invento03</t>
  </si>
  <si>
    <t>Invento04</t>
  </si>
  <si>
    <t>Invento05</t>
  </si>
  <si>
    <t>Invento00</t>
  </si>
  <si>
    <t>Receive00</t>
  </si>
  <si>
    <t>Receive01</t>
  </si>
  <si>
    <t>Receive02</t>
  </si>
  <si>
    <t>Receive03</t>
  </si>
  <si>
    <t>Receive04</t>
  </si>
  <si>
    <t>Receive05</t>
  </si>
  <si>
    <t>Payable00</t>
  </si>
  <si>
    <t>Payable01</t>
  </si>
  <si>
    <t>Payable02</t>
  </si>
  <si>
    <t>Payable03</t>
  </si>
  <si>
    <t>Payable04</t>
  </si>
  <si>
    <t>Payable05</t>
  </si>
  <si>
    <t>ReceivablesSpec</t>
  </si>
  <si>
    <t>ReceiveFirstName</t>
  </si>
  <si>
    <t>PayablesSpec</t>
  </si>
  <si>
    <t>PayableFirstName</t>
  </si>
  <si>
    <t>Accounts payable 2</t>
  </si>
  <si>
    <t>Accounts payable 3</t>
  </si>
  <si>
    <t>Accounts payable 4</t>
  </si>
  <si>
    <t>Accounts payable 5</t>
  </si>
  <si>
    <t>Present value of reinvestments</t>
  </si>
  <si>
    <t>Reinvestointien nykyarvo</t>
  </si>
  <si>
    <t>Nuvärde av reinvesteringar</t>
  </si>
  <si>
    <t>Barwert der Reinvestitionen</t>
  </si>
  <si>
    <t>Wartość bieżąca reinwestycji</t>
  </si>
  <si>
    <t>Valor actual de reinversiones</t>
  </si>
  <si>
    <t>Текущая стоимость реинвестиций</t>
  </si>
  <si>
    <t>EBIT, %</t>
  </si>
  <si>
    <t>EBITDA, %</t>
  </si>
  <si>
    <t>AFactorRanges</t>
  </si>
  <si>
    <t>ResultNPV</t>
  </si>
  <si>
    <t>ResultIRR</t>
  </si>
  <si>
    <t>ResultIRRBeforeTax</t>
  </si>
  <si>
    <t>ResultMIRR</t>
  </si>
  <si>
    <t>ResultPI</t>
  </si>
  <si>
    <t>ResultDCVA</t>
  </si>
  <si>
    <t>ResultPayback</t>
  </si>
  <si>
    <t>ResultSimplePayback</t>
  </si>
  <si>
    <t>ResultNPVEquity</t>
  </si>
  <si>
    <t>ResultIRREquity</t>
  </si>
  <si>
    <t>ResultIRRBeforeTaxEquity</t>
  </si>
  <si>
    <t>ResultMIRREquity</t>
  </si>
  <si>
    <t>ResultPaybackEquity</t>
  </si>
  <si>
    <t>ResultSimplePaybackEquity</t>
  </si>
  <si>
    <t>AFactorRanges2</t>
  </si>
  <si>
    <t>FinYearRIndex07</t>
  </si>
  <si>
    <t>FinYearRIndex08</t>
  </si>
  <si>
    <t>FinYearRIndex09</t>
  </si>
  <si>
    <t>FinYearRIndex10</t>
  </si>
  <si>
    <t>FinYearRIndex11</t>
  </si>
  <si>
    <t>FinYearR07</t>
  </si>
  <si>
    <t>FinYearR08</t>
  </si>
  <si>
    <t>FinYearR09</t>
  </si>
  <si>
    <t>FinYearR10</t>
  </si>
  <si>
    <t>FinYearR11</t>
  </si>
  <si>
    <t>FinYearCol07</t>
  </si>
  <si>
    <t>FinYearCol08</t>
  </si>
  <si>
    <t>FinYearCol09</t>
  </si>
  <si>
    <t>FinYearCol10</t>
  </si>
  <si>
    <t>FinYearCol11</t>
  </si>
  <si>
    <t>Adjusted inventories</t>
  </si>
  <si>
    <t>C8070</t>
  </si>
  <si>
    <t>C8071</t>
  </si>
  <si>
    <t>C8072</t>
  </si>
  <si>
    <t>C8073</t>
  </si>
  <si>
    <t>C8074</t>
  </si>
  <si>
    <t>WCTriggerRows</t>
  </si>
  <si>
    <t>C3093</t>
  </si>
  <si>
    <t>btnReceive04</t>
  </si>
  <si>
    <t>btnReceive01</t>
  </si>
  <si>
    <t>btnReceive02</t>
  </si>
  <si>
    <t>btnReceive03</t>
  </si>
  <si>
    <t>btnReceive05</t>
  </si>
  <si>
    <t>btnInvent01</t>
  </si>
  <si>
    <t>btnInvent02</t>
  </si>
  <si>
    <t>btnInvent03</t>
  </si>
  <si>
    <t>btnInvent04</t>
  </si>
  <si>
    <t>btnInvent05</t>
  </si>
  <si>
    <t>btnPayable01</t>
  </si>
  <si>
    <t>btnPayable02</t>
  </si>
  <si>
    <t>btnPayable03</t>
  </si>
  <si>
    <t>btnPayable04</t>
  </si>
  <si>
    <t>btnPayable05</t>
  </si>
  <si>
    <t>WCTriggerButtons</t>
  </si>
  <si>
    <t>Average term of payment, days</t>
  </si>
  <si>
    <t>Adjusted balance</t>
  </si>
  <si>
    <t>Turnover period, days</t>
  </si>
  <si>
    <t>ReceiveNoOf</t>
  </si>
  <si>
    <t>InventNoOf</t>
  </si>
  <si>
    <t>PayableNoOf</t>
  </si>
  <si>
    <t>Vaihto-omaisuus 2</t>
  </si>
  <si>
    <t>Vaihto-omaisuus 3</t>
  </si>
  <si>
    <t>Vaihto-omaisuus 4</t>
  </si>
  <si>
    <t>Vaihto-omaisuus 5</t>
  </si>
  <si>
    <t>Kiertoaika, päiviä</t>
  </si>
  <si>
    <t>Korjattu vaihto-omaisuus</t>
  </si>
  <si>
    <t>Lisäys (-) / vähennys (+)</t>
  </si>
  <si>
    <t>Maksuaika keskimäärin, päiviä</t>
  </si>
  <si>
    <t>Lisäys (+)/vähennys (-)</t>
  </si>
  <si>
    <t>Ostovelat 2</t>
  </si>
  <si>
    <t>Ostovelat 3</t>
  </si>
  <si>
    <t>Ostovelat 4</t>
  </si>
  <si>
    <t>Ostovelat 5</t>
  </si>
  <si>
    <t>Betalningstid i genomsnitt, dagar</t>
  </si>
  <si>
    <t>Ökning (+)/minskning (-)</t>
  </si>
  <si>
    <t>Leverantörsskulder 2</t>
  </si>
  <si>
    <t>Leverantörsskulder 3</t>
  </si>
  <si>
    <t>Leverantörsskulder 4</t>
  </si>
  <si>
    <t>Leverantörsskulder 5</t>
  </si>
  <si>
    <t>Omsättningstid, dagar</t>
  </si>
  <si>
    <t>Ökning (-) / minskning (+)</t>
  </si>
  <si>
    <t>Lager 2</t>
  </si>
  <si>
    <t>Lager 3</t>
  </si>
  <si>
    <t>Lager 4</t>
  </si>
  <si>
    <t>Lager 5</t>
  </si>
  <si>
    <t>Increase (-) / decrease (+)</t>
  </si>
  <si>
    <t>Verbindlichkeiten aus Lief. und Leist. (LuL) 2</t>
  </si>
  <si>
    <t>Verbindlichkeiten aus Lief. und Leist. (LuL) 3</t>
  </si>
  <si>
    <t>Verbindlichkeiten aus Lief. und Leist. (LuL) 4</t>
  </si>
  <si>
    <t>Verbindlichkeiten aus Lief. und Leist. (LuL) 5</t>
  </si>
  <si>
    <t>Zobowiązania z tyt. dostaw i usług 2</t>
  </si>
  <si>
    <t>Zobowiązania z tyt. dostaw i usług 3</t>
  </si>
  <si>
    <t>Zobowiązania z tyt. dostaw i usług 4</t>
  </si>
  <si>
    <t>Zobowiązania z tyt. dostaw i usług 5</t>
  </si>
  <si>
    <t>Cuentas a pagar 2</t>
  </si>
  <si>
    <t>Cuentas a pagar 3</t>
  </si>
  <si>
    <t>Cuentas a pagar 4</t>
  </si>
  <si>
    <t>Cuentas a pagar 5</t>
  </si>
  <si>
    <t>Кредиторская задолженность 2</t>
  </si>
  <si>
    <t>Кредиторская задолженность 3</t>
  </si>
  <si>
    <t>Кредиторская задолженность 4</t>
  </si>
  <si>
    <t>Кредиторская задолженность 5</t>
  </si>
  <si>
    <t>Дебиторская задолженность 2</t>
  </si>
  <si>
    <t>Дебиторская задолженность 3</t>
  </si>
  <si>
    <t>ReceiveHidden1</t>
  </si>
  <si>
    <t>InventHidden1</t>
  </si>
  <si>
    <t>PayableHidden1</t>
  </si>
  <si>
    <t>NotInUseTxt</t>
  </si>
  <si>
    <t>&lt; Not in use &gt;</t>
  </si>
  <si>
    <t>&lt; Ei käytössä &gt;</t>
  </si>
  <si>
    <t>&lt; Ej i bruk &gt;</t>
  </si>
  <si>
    <t>&lt; Sin uso &gt;</t>
  </si>
  <si>
    <t>&lt; Nieużywane &gt;</t>
  </si>
  <si>
    <t>&lt; Nicht genutzt &gt;</t>
  </si>
  <si>
    <t>&lt; Не используется &gt;</t>
  </si>
  <si>
    <t>VarIncludeRows</t>
  </si>
  <si>
    <t>Variable´s impact on profitability</t>
  </si>
  <si>
    <t>Muuttujan vaikutus kannattavuuteen</t>
  </si>
  <si>
    <t>Variabels inverkan på lönsamheten</t>
  </si>
  <si>
    <t>Sensitivität der Variablen auf die Profitabilität</t>
  </si>
  <si>
    <t>Wpływ zmiennej na rentowność</t>
  </si>
  <si>
    <t>Impacto de la variable en la rentabilidad</t>
  </si>
  <si>
    <t>VarRowsTxt</t>
  </si>
  <si>
    <t>Increase (+) / decrease (-)</t>
  </si>
  <si>
    <t>Rahoitusomaisuuden lisäys (-)/vähennys (+)</t>
  </si>
  <si>
    <t>Change in other receivables, increase (-)/decrease (+)</t>
  </si>
  <si>
    <t>Muutos, muut saamiset, lisäys (-)/vähennys (+)</t>
  </si>
  <si>
    <t>Vaihto-omaisuuden lisäys (-)/vähennys (+)</t>
  </si>
  <si>
    <t>Forderungen aus Lief. und Leist. 2</t>
  </si>
  <si>
    <t>Forderungen aus Lief. und Leist. 3</t>
  </si>
  <si>
    <t>Forderungen aus Lief. und Leist. 4</t>
  </si>
  <si>
    <t>Forderungen aus Lief. und Leist. 5</t>
  </si>
  <si>
    <t>Vorräte 2</t>
  </si>
  <si>
    <t>Vorräte 3</t>
  </si>
  <si>
    <t>Vorräte 4</t>
  </si>
  <si>
    <t>Vorräte 5</t>
  </si>
  <si>
    <t>Umschlagszeit,  Tage</t>
  </si>
  <si>
    <t>Korrigierte Bilanz</t>
  </si>
  <si>
    <t>Verbindlichkeiten, Zunahme (+)/Abnahme (-)</t>
  </si>
  <si>
    <t>Zunahme (-) / Abnahme (+)</t>
  </si>
  <si>
    <t>Vorräte, Zunahme (-) / Abnahme (+)</t>
  </si>
  <si>
    <t>Finanzielles Umlaufvermögen, Zu- (-) /Abnahme (+)</t>
  </si>
  <si>
    <t>Należności z tyt. dostaw i usług 2</t>
  </si>
  <si>
    <t>Należności z tyt. dostaw i usług 3</t>
  </si>
  <si>
    <t>Należności z tyt. dostaw i usług 4</t>
  </si>
  <si>
    <t>Należności z tyt. dostaw i usług 5</t>
  </si>
  <si>
    <t>Zapasy 2</t>
  </si>
  <si>
    <t>Zapasy 3</t>
  </si>
  <si>
    <t>Zapasy 4</t>
  </si>
  <si>
    <t>Zapasy 5</t>
  </si>
  <si>
    <t>Cuentas a cobrar 2</t>
  </si>
  <si>
    <t>Cuentas a cobrar 3</t>
  </si>
  <si>
    <t>Cuentas a cobrar 4</t>
  </si>
  <si>
    <t>Cuentas a cobrar 5</t>
  </si>
  <si>
    <t>Inventarios 2</t>
  </si>
  <si>
    <t>Inventarios 3</t>
  </si>
  <si>
    <t>Inventarios 4</t>
  </si>
  <si>
    <t>Inventarios 5</t>
  </si>
  <si>
    <t>Zapasy, skorygowane</t>
  </si>
  <si>
    <t>Inventarios ajustados</t>
  </si>
  <si>
    <t>Запасы 2</t>
  </si>
  <si>
    <t>Запасы 3</t>
  </si>
  <si>
    <t>Запасы 4</t>
  </si>
  <si>
    <t>Запасы 5</t>
  </si>
  <si>
    <t>Скорректированные запасы</t>
  </si>
  <si>
    <t>Show row numbers</t>
  </si>
  <si>
    <t>Näytä rivinumerot</t>
  </si>
  <si>
    <t>Visa radnummer</t>
  </si>
  <si>
    <t>Pokaż numery wierszy</t>
  </si>
  <si>
    <t>Mostrar número de filas</t>
  </si>
  <si>
    <t>Показать номера строк</t>
  </si>
  <si>
    <t>Ryhmä</t>
  </si>
  <si>
    <t>Grupp</t>
  </si>
  <si>
    <t>Gruppe</t>
  </si>
  <si>
    <t>Veränderung des Working Capitals, insgesamt</t>
  </si>
  <si>
    <t>Veränderung des Working Capitals</t>
  </si>
  <si>
    <t>Kortfristiga fordringar, ökning (-)/minskning (+)</t>
  </si>
  <si>
    <t>Kundfordringar</t>
  </si>
  <si>
    <t>Kundfordringar, korrigerade</t>
  </si>
  <si>
    <t>Kundfordringar 2</t>
  </si>
  <si>
    <t>Kundfordringar 3</t>
  </si>
  <si>
    <t>Kundfordringar 4</t>
  </si>
  <si>
    <t>Kundfordringar 5</t>
  </si>
  <si>
    <t>Zeige Zeilennummern an</t>
  </si>
  <si>
    <t>Number of days</t>
  </si>
  <si>
    <t>WC</t>
  </si>
  <si>
    <t>WCDays</t>
  </si>
  <si>
    <t>WCBal</t>
  </si>
  <si>
    <t>WCABal</t>
  </si>
  <si>
    <t>Change</t>
  </si>
  <si>
    <t>WCChange</t>
  </si>
  <si>
    <t>Locked</t>
  </si>
  <si>
    <t>(don't move cell)</t>
  </si>
  <si>
    <t>Lager, korrigerat</t>
  </si>
  <si>
    <t>0=per year, 1=per period</t>
  </si>
  <si>
    <t>Räntefritt kortfristigt främmande kapital</t>
  </si>
  <si>
    <t xml:space="preserve">  Phase</t>
  </si>
  <si>
    <t>Allokerat övervärde före skatt</t>
  </si>
  <si>
    <t>Övriga intäkter</t>
  </si>
  <si>
    <t>Realisationsvinst (-förlust)</t>
  </si>
  <si>
    <t>Kundfordringars betalningstid, dagar</t>
  </si>
  <si>
    <t>Gross margin, %</t>
  </si>
  <si>
    <t>Net income for the period, %</t>
  </si>
  <si>
    <t>(cumulative financial year)</t>
  </si>
  <si>
    <t>(kumulatiivinen tilikausi)</t>
  </si>
  <si>
    <t>Myyntikate, %</t>
  </si>
  <si>
    <t>Kauden voitto (tappio), %</t>
  </si>
  <si>
    <t>(kumulativ räkenskapsperiod)</t>
  </si>
  <si>
    <t>Försäljningsbidrag, %</t>
  </si>
  <si>
    <t>Periodens vinst (förlust), %</t>
  </si>
  <si>
    <t>(kumulativ Rechnungsperiode)</t>
  </si>
  <si>
    <t>Deckungsbeitrag 1, %</t>
  </si>
  <si>
    <t>Gewinn (Verlust), %</t>
  </si>
  <si>
    <t>Marża brutto, %</t>
  </si>
  <si>
    <t>Zysk netto okresu, %</t>
  </si>
  <si>
    <t>(ejercicio financiero acumulativo)</t>
  </si>
  <si>
    <t>Margen bruto, %</t>
  </si>
  <si>
    <t>BEI, %</t>
  </si>
  <si>
    <t>Ingreso neto para el período, %</t>
  </si>
  <si>
    <t>Валовая маржа, %</t>
  </si>
  <si>
    <t>Чистый доход за период, %</t>
  </si>
  <si>
    <t>C1799</t>
  </si>
  <si>
    <t>Veränderung Rechnungsabgrenzungsposten</t>
  </si>
  <si>
    <t>Rechnungsabgrenzungsposten</t>
  </si>
  <si>
    <t>Ergebnis 2 vor Steuern</t>
  </si>
  <si>
    <t>Added in 37009:</t>
  </si>
  <si>
    <t>ChangeTxt</t>
  </si>
  <si>
    <t>Change, yearly %</t>
  </si>
  <si>
    <t>Muutos, vuosi %</t>
  </si>
  <si>
    <t>Förändring, årlig %</t>
  </si>
  <si>
    <t>Veränderung, jährlich in %</t>
  </si>
  <si>
    <t>Zmiana, rocznie %</t>
  </si>
  <si>
    <t>Variación, % annual</t>
  </si>
  <si>
    <t>Изменение, годовой %</t>
  </si>
  <si>
    <t>IndexTxt</t>
  </si>
  <si>
    <t>Index (base year 100)</t>
  </si>
  <si>
    <t>Indeksi (perusvuosi 100)</t>
  </si>
  <si>
    <t>Index (basår 100)</t>
  </si>
  <si>
    <t>Index (Basisjahr = 100)</t>
  </si>
  <si>
    <t>Indeks (rok bazowy 100)</t>
  </si>
  <si>
    <t>Indice (año base 100)</t>
  </si>
  <si>
    <t>Индекс (базовый год 100)</t>
  </si>
  <si>
    <t>GroupTxt</t>
  </si>
  <si>
    <t>AllTxt</t>
  </si>
  <si>
    <t>All</t>
  </si>
  <si>
    <t>Kaikki</t>
  </si>
  <si>
    <t>Alla</t>
  </si>
  <si>
    <t>Alle</t>
  </si>
  <si>
    <t>Wszystko</t>
  </si>
  <si>
    <t>Todos</t>
  </si>
  <si>
    <t>все</t>
  </si>
  <si>
    <t>CurrencyTranslationCons</t>
  </si>
  <si>
    <t>CurrencyfileCons</t>
  </si>
  <si>
    <t>Mid-year discounting</t>
  </si>
  <si>
    <t>Diskonttaus kesken vuoden</t>
  </si>
  <si>
    <t>Diskontering från årets mitt</t>
  </si>
  <si>
    <t>Descuento medio / año</t>
  </si>
  <si>
    <t>Среднегодовое дисконтирование</t>
  </si>
  <si>
    <t>MidyearTxt</t>
  </si>
  <si>
    <t>MYDisc</t>
  </si>
  <si>
    <t>C4312</t>
  </si>
  <si>
    <t>C4311</t>
  </si>
  <si>
    <t>C4313</t>
  </si>
  <si>
    <t>Mid-year months to CalcPoint</t>
  </si>
  <si>
    <t>Mid-year months to CalcPointPB</t>
  </si>
  <si>
    <t>Mid-year months, cumulative</t>
  </si>
  <si>
    <t>Share of associated companies' profits</t>
  </si>
  <si>
    <t>C2186</t>
  </si>
  <si>
    <t>Osuus osakkuuusyritysten voitosta</t>
  </si>
  <si>
    <t>Andel av intressebolagens resultat</t>
  </si>
  <si>
    <t>Anteil der assoziierten Unternehmen Gewinne</t>
  </si>
  <si>
    <t>Accounts receivable, group</t>
  </si>
  <si>
    <t>C3951</t>
  </si>
  <si>
    <t>C3952</t>
  </si>
  <si>
    <t>Myyntisaamiset, konserni</t>
  </si>
  <si>
    <t>Kundfordringar, koncern</t>
  </si>
  <si>
    <t>Förändring i övriga kundfordringar, koncern</t>
  </si>
  <si>
    <t>Muutos, myyntisaamiset, konserni, lis. (-)/väh. (+)</t>
  </si>
  <si>
    <t>Forderungen aus Lief. und Leist., Konzern</t>
  </si>
  <si>
    <t>Veränderung, Forderungen aus Lief. und Leist., Konzern</t>
  </si>
  <si>
    <t>Other receivables, group</t>
  </si>
  <si>
    <t>Muut saamiset, konserni</t>
  </si>
  <si>
    <t>Muutos, muut saamiset, konserni, lis. (-)/väh. (+)</t>
  </si>
  <si>
    <t>Övriga fordringar, koncern</t>
  </si>
  <si>
    <t>Förändring i övriga fordringar, koncern</t>
  </si>
  <si>
    <t>Andere Forderungen, Konzern</t>
  </si>
  <si>
    <t>Veränderung, andere Forderungen, Konzern, Zu- (-) / Abnahme (+)</t>
  </si>
  <si>
    <t>C3961</t>
  </si>
  <si>
    <t>C3962</t>
  </si>
  <si>
    <t>Change in other receivables, group, incr. (-)/decr. (+)</t>
  </si>
  <si>
    <t>Change in accounts receivable, group, incr. (-)/decr. (+)</t>
  </si>
  <si>
    <t>Accounts payable, group</t>
  </si>
  <si>
    <t>Change in accounts payable, group, incr. (+)/decr. (-)</t>
  </si>
  <si>
    <t>Ostovelat, konserni</t>
  </si>
  <si>
    <t>Muutos, ostovelat, konserni, lisäys (+)/vähennys (-)</t>
  </si>
  <si>
    <t>Leverantörsskulder, koncern</t>
  </si>
  <si>
    <t>Förändring i leverantörsskulder, koncern, ökn. (+)/minskn. (-)</t>
  </si>
  <si>
    <t>Verbindlichkeiten aus Lief. und Leist. (LuL), Konzern</t>
  </si>
  <si>
    <t>Veränderung, Verbindlichk. aus Lief. und Leist. (LuL), Konzern</t>
  </si>
  <si>
    <t>C3971</t>
  </si>
  <si>
    <t>C3972</t>
  </si>
  <si>
    <t>C3981</t>
  </si>
  <si>
    <t>C3982</t>
  </si>
  <si>
    <t>Change in other current liabilities, incr. (+)/decr. (-)</t>
  </si>
  <si>
    <t>Other interest-free current liabilities, group</t>
  </si>
  <si>
    <t>Muu koroton lyhytaikainen velka, konserni</t>
  </si>
  <si>
    <t>Muutos, muu koroton lyh. velka konserni, lis. (+)/väh. (-)</t>
  </si>
  <si>
    <t>Övriga räntefria kortfristiga skulder, koncern</t>
  </si>
  <si>
    <t>Förändring i övriga räntefria kortfristiga skulder, koncern</t>
  </si>
  <si>
    <t>Veränderung, Sonstige unverzinsl. kurzfristige Verbindlichkeiten</t>
  </si>
  <si>
    <t>Sonstige unverzinsl. kurzfristige Verbindlichkeiten</t>
  </si>
  <si>
    <t>Changes in long-term debt, group</t>
  </si>
  <si>
    <t>C4129</t>
  </si>
  <si>
    <t>Muutokset vieraassa pääomassa, konserni</t>
  </si>
  <si>
    <t>Förändringar i främmande kapital, koncern</t>
  </si>
  <si>
    <t>Änderungen im Fremdkapital, Konzern</t>
  </si>
  <si>
    <t>C5951</t>
  </si>
  <si>
    <t>C5971</t>
  </si>
  <si>
    <t>Interest-bearing long-term debt, group</t>
  </si>
  <si>
    <t>C7111</t>
  </si>
  <si>
    <t>Korollinen pitkäaikainen vieras pääoma, konserni</t>
  </si>
  <si>
    <t>Räntebärande långfristigt främmande kapital, koncern</t>
  </si>
  <si>
    <t>Verzinsliches langfristiges Fremdkapital, Konzern</t>
  </si>
  <si>
    <t>C7211</t>
  </si>
  <si>
    <t>Verbindlichkeiten aus Lieferungen, Konzern</t>
  </si>
  <si>
    <t>C7216</t>
  </si>
  <si>
    <t>Other interest-free short-term debt, group</t>
  </si>
  <si>
    <t>Övrigt räntefritt kortfristigt främmande kapital, koncern</t>
  </si>
  <si>
    <t>Sonstige kurzfristige Verbindlichkeiten, Konzern</t>
  </si>
  <si>
    <t>C5951C</t>
  </si>
  <si>
    <t>C5971C</t>
  </si>
  <si>
    <t>C7111C</t>
  </si>
  <si>
    <t>C7211C</t>
  </si>
  <si>
    <t>C7216C</t>
  </si>
  <si>
    <t>Change in interest-free current liabilities, group</t>
  </si>
  <si>
    <t>Participación del lucro de las empresas asociadas</t>
  </si>
  <si>
    <t>Cuentas por cobrar, grupo</t>
  </si>
  <si>
    <t>Otras cuentas por cobrar, grupo</t>
  </si>
  <si>
    <t>Cuentas por pagar, grupo</t>
  </si>
  <si>
    <t>Otros pasivos circulantes libres de intereses, grupo</t>
  </si>
  <si>
    <t>Variación en deuda de largo plazo, grupo</t>
  </si>
  <si>
    <t>Deuda de largo plazo con costo financiero</t>
  </si>
  <si>
    <t>Deuda de corto plazo sin costo financier, grupo</t>
  </si>
  <si>
    <t>Доля прибыли дочерних компаний</t>
  </si>
  <si>
    <t>Дебиторская задолженность, группа</t>
  </si>
  <si>
    <t>Прочая дебиторская задолженность, группа</t>
  </si>
  <si>
    <t>Кредиторская задолженность, группа</t>
  </si>
  <si>
    <t>Прочие беспроцентные текущие обязательства, группа</t>
  </si>
  <si>
    <t>Изменения по долгосрочной задолжности, группа</t>
  </si>
  <si>
    <t>Долгосрочная процентная задолженность, группа</t>
  </si>
  <si>
    <t>Изменение по беспроцентным тек. обяз., группа</t>
  </si>
  <si>
    <t>Измен. по деб. задолж., группа, увелич. (-)/уменьш. (+)</t>
  </si>
  <si>
    <t>Измен. по кред. задолж., группа, увелич. (+)/уменьш. (-)</t>
  </si>
  <si>
    <t>Проч. краткосрочная беспроцентная задолж., группа</t>
  </si>
  <si>
    <t>Измен. по проч. деб. задолж., группа, увел. (-)/умен. (+)</t>
  </si>
  <si>
    <t>Udział w zyskach spółek stowarzyszonych</t>
  </si>
  <si>
    <t>Należności, grupa</t>
  </si>
  <si>
    <t>Zmiana stanu należności, grupa, wzr. (+) / spad. (-)</t>
  </si>
  <si>
    <t>Pozostałe należności, grupa</t>
  </si>
  <si>
    <t>Zmiany pozostałych należności, grupa, wzr. (+) / spad. (-)</t>
  </si>
  <si>
    <t>Zmiana stanu zobowiązań, grupa, wzr. (+) / spad. (-)</t>
  </si>
  <si>
    <t>Inne nieoprocentowane zobowiązania krótkoterminowe, grupa</t>
  </si>
  <si>
    <t>Zmiana w nieoprocentowanych zobowiązaniach krótkoterminowych, grupa</t>
  </si>
  <si>
    <t>Zmiany w długoterminowych zadłużeniach, grupa</t>
  </si>
  <si>
    <t>Inne nieoprocentowane zadłużenie krótkoterminowe, grupa</t>
  </si>
  <si>
    <t>3.8.003</t>
  </si>
  <si>
    <t xml:space="preserve">Variación en ctas por cobrar, grupo, aum.(-)/red.(+) </t>
  </si>
  <si>
    <t xml:space="preserve">Variación en otras ctas por cobrar, grupo,  aum.(-)/red.(+) </t>
  </si>
  <si>
    <t>Variación en ctas por pagar, grupo, aum.(+)/red.(-)</t>
  </si>
  <si>
    <t>Var. en otros pasivos circulantes sin costo fin., grupo</t>
  </si>
  <si>
    <t>Основни значения</t>
  </si>
  <si>
    <t>Година</t>
  </si>
  <si>
    <t xml:space="preserve">  Описание на проекта</t>
  </si>
  <si>
    <t>месец</t>
  </si>
  <si>
    <t xml:space="preserve">  Етам на разчета</t>
  </si>
  <si>
    <t>Всичко</t>
  </si>
  <si>
    <t>години</t>
  </si>
  <si>
    <t xml:space="preserve">  Срок на разчета, година</t>
  </si>
  <si>
    <t>месеци</t>
  </si>
  <si>
    <t xml:space="preserve">  + месеци</t>
  </si>
  <si>
    <t xml:space="preserve">  Дължина на интервала, месеци</t>
  </si>
  <si>
    <t xml:space="preserve">  Брой на интервалите</t>
  </si>
  <si>
    <t xml:space="preserve">  Точка на разчета </t>
  </si>
  <si>
    <t>(в края на  периода)</t>
  </si>
  <si>
    <t xml:space="preserve">  Валута</t>
  </si>
  <si>
    <t xml:space="preserve">  Ставка на Дисконтиране (годишна)</t>
  </si>
  <si>
    <t>Месечна</t>
  </si>
  <si>
    <t xml:space="preserve">  За интервала</t>
  </si>
  <si>
    <t xml:space="preserve">  Стойност на собств. капитал (за година)</t>
  </si>
  <si>
    <t xml:space="preserve">  Данък печалба %</t>
  </si>
  <si>
    <t>К О Н Т А К Т Н А    И Н Ф О Р М А Ц И Я</t>
  </si>
  <si>
    <t xml:space="preserve">  Контактно лице</t>
  </si>
  <si>
    <t xml:space="preserve">  Коментарии</t>
  </si>
  <si>
    <t xml:space="preserve">  Разчетен файл</t>
  </si>
  <si>
    <t>Такси за включване</t>
  </si>
  <si>
    <t>Месеци в интервала</t>
  </si>
  <si>
    <t>Тарифи за включване, ръст (+) / снижение (-)</t>
  </si>
  <si>
    <t>ИНВЕСТИЦИИ (-) / ДОХОДИ ОТ РЕАЛИЗАЦИЯТА (+)</t>
  </si>
  <si>
    <t>Въведена амортизация</t>
  </si>
  <si>
    <t>(линейна)</t>
  </si>
  <si>
    <t>Балансова стойност</t>
  </si>
  <si>
    <t>Въведена балансова стойност</t>
  </si>
  <si>
    <t>Доходи от реализация</t>
  </si>
  <si>
    <t>Доходи (+) / разходи (-) от реализация</t>
  </si>
  <si>
    <t>Вътрешно</t>
  </si>
  <si>
    <t>Реализация</t>
  </si>
  <si>
    <t>Групови инвестиции</t>
  </si>
  <si>
    <t>Групови доходи от реализация</t>
  </si>
  <si>
    <t>Групова амортизация</t>
  </si>
  <si>
    <t>Групови доходи (+) / разходи (-) от реализация</t>
  </si>
  <si>
    <t>Групова балансова стойност</t>
  </si>
  <si>
    <t>Разчет на доброто име</t>
  </si>
  <si>
    <t>Дял, %</t>
  </si>
  <si>
    <t>Акционерен капитал</t>
  </si>
  <si>
    <t>Емисионна премия</t>
  </si>
  <si>
    <t>Други ограничения на собствения капитал</t>
  </si>
  <si>
    <t>Нерзпределена печалба</t>
  </si>
  <si>
    <t>Печалба (Загуба) за периода</t>
  </si>
  <si>
    <t>Различие в амортизацията</t>
  </si>
  <si>
    <t>Преоценка преди облагането с данък</t>
  </si>
  <si>
    <t>Задължения по неплатен данък</t>
  </si>
  <si>
    <t>Разпределена преоценка преди данъци</t>
  </si>
  <si>
    <t>Сума распределена на :</t>
  </si>
  <si>
    <t>Рапределено задължение по отложени данъци</t>
  </si>
  <si>
    <t xml:space="preserve">Всичко разпределена преоценка </t>
  </si>
  <si>
    <t>Добро име</t>
  </si>
  <si>
    <t>Комулативен баланс на "доброто име"</t>
  </si>
  <si>
    <t>Групово "добро име"</t>
  </si>
  <si>
    <t>Корекция на собствения капитал</t>
  </si>
  <si>
    <t>Финансиране на придобиването</t>
  </si>
  <si>
    <t>Собствен капитал</t>
  </si>
  <si>
    <t>Дългосрочна лихвена задлъжнялост</t>
  </si>
  <si>
    <t>Погасяване на задълженията</t>
  </si>
  <si>
    <t>Разходи по  финансирането</t>
  </si>
  <si>
    <t>ОТЧЕТ НА ПЕЧАЛБАТА И ЗАГУБИТЕ</t>
  </si>
  <si>
    <t>Съставни части на Доходите:</t>
  </si>
  <si>
    <t>Доходи</t>
  </si>
  <si>
    <t>(кумулативни стойности за финансовата година)</t>
  </si>
  <si>
    <t>Променливи разходи</t>
  </si>
  <si>
    <t>Суровини и материали</t>
  </si>
  <si>
    <t>Външни разходи</t>
  </si>
  <si>
    <t>разходи за персонал</t>
  </si>
  <si>
    <t>Други променливи разходи</t>
  </si>
  <si>
    <t>Брутна печалба</t>
  </si>
  <si>
    <t>(комулативни стойности за финансовата година)</t>
  </si>
  <si>
    <t>Брутна печалба, %</t>
  </si>
  <si>
    <t>Фиксирани разходи</t>
  </si>
  <si>
    <t>Разходи за персонал</t>
  </si>
  <si>
    <t>Арендни плащания</t>
  </si>
  <si>
    <t>Други фиксирани разходи</t>
  </si>
  <si>
    <t>Резервни отчисленияя, ръст (-) / снижение (+)</t>
  </si>
  <si>
    <t>EBITDA; Печалба преди амортизационните отчисления</t>
  </si>
  <si>
    <t>Амортизация  на "доброто име"</t>
  </si>
  <si>
    <t>Друга амортизация</t>
  </si>
  <si>
    <t>EBIT; Нетна операционна печалба</t>
  </si>
  <si>
    <t>Финансови доходи и разходи</t>
  </si>
  <si>
    <t>Финансови доходи и разходи, Финансов файл</t>
  </si>
  <si>
    <t>EBT; печалба след финансовите разходи</t>
  </si>
  <si>
    <t>Доходи и Разходи извън Реализацията</t>
  </si>
  <si>
    <t>Доходи (-Разходи) от реализацията</t>
  </si>
  <si>
    <t>други Доходи(Разходи) извън реализацията</t>
  </si>
  <si>
    <t>Печалба преди кредитни плащания и данъци</t>
  </si>
  <si>
    <t>Изменения по кредитните плащания</t>
  </si>
  <si>
    <t>Превишение на амортизациите над (-) / подт (+) от въведените</t>
  </si>
  <si>
    <t>Данък върху печалбата</t>
  </si>
  <si>
    <t>Отложен за плащане данък</t>
  </si>
  <si>
    <t>Дял на  миноритарните акционери</t>
  </si>
  <si>
    <t>Нетен доход за периода</t>
  </si>
  <si>
    <t>(кумулятивно значение за финансовата година)</t>
  </si>
  <si>
    <t>Нетен доход за периода, %</t>
  </si>
  <si>
    <t>Объект на  инвестицията</t>
  </si>
  <si>
    <t>Рентабилност на нетните активи (RONA), %</t>
  </si>
  <si>
    <t>Икономическа Добавена Стойност  (EVA)</t>
  </si>
  <si>
    <t>Дисконтирана Добавена Стойност (DCVA)</t>
  </si>
  <si>
    <t>Комулативна Дисконтирана Добавена Стойност</t>
  </si>
  <si>
    <t>Операционна печалба</t>
  </si>
  <si>
    <t>Нетна операционна печалба след данъци</t>
  </si>
  <si>
    <t>Група</t>
  </si>
  <si>
    <t>Резултат в обекта на финансиране преди данъци</t>
  </si>
  <si>
    <t>Финансови и извън реализацията позиции</t>
  </si>
  <si>
    <t>Общ данъчен ефект</t>
  </si>
  <si>
    <t>Ефект на резултата на на групата преди отчитане дела на миноритарните акционери</t>
  </si>
  <si>
    <t>ефект на резултата на групата (комулативен за финансовата година)</t>
  </si>
  <si>
    <t>Рентабилност на Нетните Активи на Групата  (RONA), %</t>
  </si>
  <si>
    <t>Икономическа Добавен Стойност на Групата (EVA)</t>
  </si>
  <si>
    <t>Дисконтирана Добавена Стойност на Групата(DCVA)</t>
  </si>
  <si>
    <t>Комулативна Дисконтирана Добавена Стойност на Групата</t>
  </si>
  <si>
    <t>Операционна печалба на групата</t>
  </si>
  <si>
    <t>нетна операционна печалба на групата след данъци</t>
  </si>
  <si>
    <t>ОБОРОТЕН КАПИТАЛ</t>
  </si>
  <si>
    <t>Мецеци в интервала</t>
  </si>
  <si>
    <t>Краткосрочни активи</t>
  </si>
  <si>
    <t>Сродносрочни плащания по дебиторска задлъжнялост, дни</t>
  </si>
  <si>
    <t>Дебиторска задлъжнялост</t>
  </si>
  <si>
    <t>Корегирана дебиторска задлъжнялост</t>
  </si>
  <si>
    <t>Изменения в дебиторската задлъжнялост</t>
  </si>
  <si>
    <t>Дебиторска задлъжнялост 2</t>
  </si>
  <si>
    <t>Изменения по дебиторската задлъжнялос</t>
  </si>
  <si>
    <t>Дебиторска задлъжнялост 3</t>
  </si>
  <si>
    <t>Друга дебиторска задлъжнялост</t>
  </si>
  <si>
    <t>Изменения в другата  дебиторска задлъжнялост</t>
  </si>
  <si>
    <t>Минимален остатък на наличните пари</t>
  </si>
  <si>
    <t>Краткосрочни активи, ръс (-) / снижение (+)</t>
  </si>
  <si>
    <t>Запаси</t>
  </si>
  <si>
    <t>Корегиран период на оборота, дни</t>
  </si>
  <si>
    <t>Корегирани запаси</t>
  </si>
  <si>
    <t>Увеличение (-) или намаление (+) на запаса</t>
  </si>
  <si>
    <t>Запаси 2</t>
  </si>
  <si>
    <t>Увеличение (-) или намаление (+) на запасите</t>
  </si>
  <si>
    <t>Корегиран  период на оборота, дни</t>
  </si>
  <si>
    <t>Запаси 3</t>
  </si>
  <si>
    <t>Запаси 4</t>
  </si>
  <si>
    <t>Увеличение (-) или намаление (+) запасите</t>
  </si>
  <si>
    <t>Запаси 5</t>
  </si>
  <si>
    <t>Увеличение (-)/намаление (+) на запасите</t>
  </si>
  <si>
    <t>Текущи задължения</t>
  </si>
  <si>
    <t>Кредиторска задлъжнялост, средн. срок на изплащане, дни</t>
  </si>
  <si>
    <t>Кредиторска задлъжнялос</t>
  </si>
  <si>
    <t>Корегирана Кредиторска задлъжнялос</t>
  </si>
  <si>
    <t>Изменения по кред. задлъжнялост., увелич.(+) /намал.(-)</t>
  </si>
  <si>
    <t>Кредиторска задлъжнялост 2</t>
  </si>
  <si>
    <t>Кредиторска задлъжнялост 3</t>
  </si>
  <si>
    <t>Кредиторска задлъжнялост  4</t>
  </si>
  <si>
    <t>Кредиторска задлъжнялост 5</t>
  </si>
  <si>
    <t>Други текущи задължения</t>
  </si>
  <si>
    <t>Изменения в другите тек. задълж., увелич.(+) / намал.(-)</t>
  </si>
  <si>
    <t>Текущи задължения, увеличение (+)/намаление (-)</t>
  </si>
  <si>
    <t>Изменения в Оборотния Капитал</t>
  </si>
  <si>
    <t>Нетен Оборотен Капитал</t>
  </si>
  <si>
    <t>ОТЧЕТ ЗА ДВИЖЕНИЕТО НА ПАРИЧНИТЕ  СРЕДСТВА</t>
  </si>
  <si>
    <t>Месеци в  интервала</t>
  </si>
  <si>
    <t>паричен поток от операционната  дейност</t>
  </si>
  <si>
    <t>Изменения в Оборотния  Капитал</t>
  </si>
  <si>
    <t>Паричен  поток от операционната дейност</t>
  </si>
  <si>
    <t>Такса за подвключване</t>
  </si>
  <si>
    <t>Инвестиции в активи и доходи от тяхната реализация</t>
  </si>
  <si>
    <t>Групови статии</t>
  </si>
  <si>
    <t>Придобивания  и реализация</t>
  </si>
  <si>
    <t>Данъчен ефект</t>
  </si>
  <si>
    <t>Сконтов процент, %</t>
  </si>
  <si>
    <t>Стойност от използването</t>
  </si>
  <si>
    <t>Финансов Паричен  Поток</t>
  </si>
  <si>
    <t>Финансови доходи и рзсходи</t>
  </si>
  <si>
    <t>Дългосрочна задлъжнялост., увелич.(+) / намал.(-)</t>
  </si>
  <si>
    <t>Изменения по дългосрочната лихвена задлъжнялост</t>
  </si>
  <si>
    <t>Изменения в задлъжнялостта. по корп. Приобиване</t>
  </si>
  <si>
    <t>Изменения по краткосрочните  кредити и заеми</t>
  </si>
  <si>
    <t>Cвоб. паричен поток на собств. капитал (FCFE)</t>
  </si>
  <si>
    <t>Дисконт. своб.паричен поток на собств. капитал (DFCFE)</t>
  </si>
  <si>
    <t>Общ дисконт. своб. паричен. поток на собств. Капитал</t>
  </si>
  <si>
    <t>Стойност на собствения капитала (за год.)</t>
  </si>
  <si>
    <t>Собствен капитал, ръс (+) / снижение (-)</t>
  </si>
  <si>
    <t>Изменения в акционерния капитал</t>
  </si>
  <si>
    <t>Изменения вэмиссионните  премии</t>
  </si>
  <si>
    <t>Изменения в другите огранич.на  собств. Капитал</t>
  </si>
  <si>
    <t>Изменения в собств. капитал в компанията майка</t>
  </si>
  <si>
    <t>Изменения в неразпределената печалба</t>
  </si>
  <si>
    <t>Всичко Паричен Поток</t>
  </si>
  <si>
    <t>Всичко Комулативен Паричен Поток</t>
  </si>
  <si>
    <t>БАЛАНСОВ ОТЧЕТ</t>
  </si>
  <si>
    <t>АКТИВИ</t>
  </si>
  <si>
    <t>Начален баланс</t>
  </si>
  <si>
    <t>Основни средства и други извън оборотни активи</t>
  </si>
  <si>
    <t>Нематериални активи</t>
  </si>
  <si>
    <t>Нематериални права</t>
  </si>
  <si>
    <t>Нематериални права (посочени)</t>
  </si>
  <si>
    <t>Капитализирани разходи  за разработката</t>
  </si>
  <si>
    <t>Капитализирани расходи за разраб. (посочени)</t>
  </si>
  <si>
    <t>Капитализирани расходи за разр.</t>
  </si>
  <si>
    <t>Добро име (посочено)</t>
  </si>
  <si>
    <t>Други нематериални активи</t>
  </si>
  <si>
    <t>Други нематериални активы (посочени)</t>
  </si>
  <si>
    <t>Материални активи</t>
  </si>
  <si>
    <t>Машини и оборудване</t>
  </si>
  <si>
    <t>Машини и оборудване (посочено)</t>
  </si>
  <si>
    <t>Здания и съоружения</t>
  </si>
  <si>
    <t>Здания и съоружения (посочени)</t>
  </si>
  <si>
    <t>Земя и вода</t>
  </si>
  <si>
    <t>Земя и вода (посочени)</t>
  </si>
  <si>
    <t>Раходи  за бъдещи периоди и незав.строит.</t>
  </si>
  <si>
    <t>Раходи  за бъдещи периоди и незав.строит.(посочени)</t>
  </si>
  <si>
    <t>Други материални активи</t>
  </si>
  <si>
    <t>Други материални активи (посочени)</t>
  </si>
  <si>
    <t>Инвестиции в дъщерни компании</t>
  </si>
  <si>
    <t>Инвестиции в дъщерни компании (посочени)</t>
  </si>
  <si>
    <t>Активи в отложени данъци</t>
  </si>
  <si>
    <t>Активи в  отложени данъци (посочени)</t>
  </si>
  <si>
    <t>Активи по отложени данъци</t>
  </si>
  <si>
    <t>Долгосрочни заеми за възстановяване</t>
  </si>
  <si>
    <t>Долгосрочни заеми за възстановяване(посочени)</t>
  </si>
  <si>
    <t>Други инвестиции</t>
  </si>
  <si>
    <t>Други инвестиции (посочени)</t>
  </si>
  <si>
    <t>Всичко основни средства и други извъноборотни активи</t>
  </si>
  <si>
    <t>Оборотни Активи</t>
  </si>
  <si>
    <t>Запаси и незавершено производство</t>
  </si>
  <si>
    <t>Банк и каса</t>
  </si>
  <si>
    <t>Всичко Оборотни Активи</t>
  </si>
  <si>
    <t>Добро име на групата (придобиване)</t>
  </si>
  <si>
    <t>Банк и каса, компанията майка</t>
  </si>
  <si>
    <t>АКТИВИ на  ГРУПАТА</t>
  </si>
  <si>
    <t xml:space="preserve">СОБСТВ. КАПИТАЛ И ЗАДЪЛЖЕНИЯ НА  АКЦИОНЕРИТЕ </t>
  </si>
  <si>
    <t>Собствен капитал  на акционерите</t>
  </si>
  <si>
    <t>Друг Ограничен Капитал</t>
  </si>
  <si>
    <t>Неразпределена Печалба</t>
  </si>
  <si>
    <t>Печалба/Загуба за периода</t>
  </si>
  <si>
    <t>Всичко Собствен Капитал на Акционерите</t>
  </si>
  <si>
    <t>Натрупани бюджетни кредити</t>
  </si>
  <si>
    <t>Резервни отчисления</t>
  </si>
  <si>
    <t>Задължения</t>
  </si>
  <si>
    <t>Дългосрочни задължения</t>
  </si>
  <si>
    <t>Дългосрочна безлихвена задлъжнялост</t>
  </si>
  <si>
    <t>Задлъжнялост по отложени данъци</t>
  </si>
  <si>
    <t>Краткосрочни задължения</t>
  </si>
  <si>
    <t>Краткосрочни лихвени задължения</t>
  </si>
  <si>
    <t>Краткосрочни кредити и заеми</t>
  </si>
  <si>
    <t>Текъщ дял надългосрочните кредити</t>
  </si>
  <si>
    <t>Краткосрочни безлихвени задължения</t>
  </si>
  <si>
    <t>Кредиторска задлъжнялост</t>
  </si>
  <si>
    <t>Друга краткосрочна безлихвена задлъжнялост</t>
  </si>
  <si>
    <t>Натрупани инвестиционни разходи</t>
  </si>
  <si>
    <t>Изчислена задлъжнялост по данъците</t>
  </si>
  <si>
    <t>Всичко задлъжнялост</t>
  </si>
  <si>
    <t>СОБСТВЕН КАПИТАЛ И ЗАДЛЪЖНЯЛОСТ</t>
  </si>
  <si>
    <t>Проверка: Собствен  капитал и задължения - Активи</t>
  </si>
  <si>
    <t>Корекция на размера на собствения капитал</t>
  </si>
  <si>
    <t>Дял на  миноритарните  акционери</t>
  </si>
  <si>
    <t>Задължения  по отложени данъци</t>
  </si>
  <si>
    <t>Долгосрочна лихвена задлъжнялост</t>
  </si>
  <si>
    <t>Краткосрочни  лихвени задължения</t>
  </si>
  <si>
    <t>СОБСТВЕНИ СРЕДСТВА И задължения на  ГРУПАТА</t>
  </si>
  <si>
    <t>Проверка: Собствен капитал и задължения – Активи (на групата)</t>
  </si>
  <si>
    <t>Тест на  обесценяването</t>
  </si>
  <si>
    <t>Балансова стойност на активите</t>
  </si>
  <si>
    <t>Контролна стойност (+ ръс на  капитала / - загуба от обесценката)</t>
  </si>
  <si>
    <t>ФИНАНСОВИ ПОКАЗАТЕЛИ</t>
  </si>
  <si>
    <t>Към Таблицата за сравнение:</t>
  </si>
  <si>
    <t>Инвестиция Верификация на теста за обезценяване:</t>
  </si>
  <si>
    <t>Анализ на рентабилността</t>
  </si>
  <si>
    <t>Описание на проекта</t>
  </si>
  <si>
    <t>За компанията</t>
  </si>
  <si>
    <t>Номинална стойност на всички инвестиции</t>
  </si>
  <si>
    <t>Дисконтирани инвестиции</t>
  </si>
  <si>
    <t>Необходимо ниво на доходност</t>
  </si>
  <si>
    <t>Срок на разчета</t>
  </si>
  <si>
    <t>Точка на разчета</t>
  </si>
  <si>
    <t>Текуща стойност на търговския паричен поток</t>
  </si>
  <si>
    <t xml:space="preserve">поток </t>
  </si>
  <si>
    <t>Забележка</t>
  </si>
  <si>
    <t>Текуща стойност на операционния паричен поток</t>
  </si>
  <si>
    <t>Текуща стойност на остатъчната стойност</t>
  </si>
  <si>
    <t>Период на екстраполация</t>
  </si>
  <si>
    <t>Стандартен ( без увеличение)</t>
  </si>
  <si>
    <t>Ръст на годишната лихва</t>
  </si>
  <si>
    <t>Подразбиращи се крайни многократни</t>
  </si>
  <si>
    <t>Остатъчна стойност</t>
  </si>
  <si>
    <t>текуща стойност на реинвестицията</t>
  </si>
  <si>
    <t>Обща текуща стойност (PV)</t>
  </si>
  <si>
    <t xml:space="preserve">      Нетен паричен поток за годината</t>
  </si>
  <si>
    <t>върху коефицента на рентабилност</t>
  </si>
  <si>
    <t>Коефицент на дисконтиране</t>
  </si>
  <si>
    <t>Стойност на собствения капитал</t>
  </si>
  <si>
    <t>Влияние на сумата на инвестициите върху рентабилността</t>
  </si>
  <si>
    <t>Финансови показатели</t>
  </si>
  <si>
    <t>Изменение на дохода,%</t>
  </si>
  <si>
    <t>Влияние на променливите разходи върху рентабилността</t>
  </si>
  <si>
    <t>Изменение на променливите разходи,%</t>
  </si>
  <si>
    <t>Влияние на фиксираните разходи върху рентабилността</t>
  </si>
  <si>
    <t>Изменение на фиксираните разходи, %</t>
  </si>
  <si>
    <t>Влияние на променливия доход върху рентабилността</t>
  </si>
  <si>
    <t>Променлива</t>
  </si>
  <si>
    <t>Изменение на стойността,%</t>
  </si>
  <si>
    <t>Стойности на променливата</t>
  </si>
  <si>
    <t>Покажи основните стойности</t>
  </si>
  <si>
    <t>Отчет за печалбата и загубата</t>
  </si>
  <si>
    <t>Продължаващи операции</t>
  </si>
  <si>
    <t>Продажба</t>
  </si>
  <si>
    <t>Други доходи</t>
  </si>
  <si>
    <t>Материали и услуги</t>
  </si>
  <si>
    <t>Разходи за трудови възнаграждения</t>
  </si>
  <si>
    <t>Амортизация,Износване и разходи по обезценяване</t>
  </si>
  <si>
    <t>Други разходи</t>
  </si>
  <si>
    <t>Операционна печалба,%</t>
  </si>
  <si>
    <t>Дял на печалбата на асоциацираните и съвместни предприятия</t>
  </si>
  <si>
    <t>Нетни финансови позиции</t>
  </si>
  <si>
    <t>Печалба преди подоходния данък</t>
  </si>
  <si>
    <t>Печалба преди подоходния данък,%</t>
  </si>
  <si>
    <t>разходи по подоходния данък</t>
  </si>
  <si>
    <t>Печалба за период  от продължаващи операции</t>
  </si>
  <si>
    <t>Печалба за период от продължаващи операции,%</t>
  </si>
  <si>
    <t>Прекратени операции</t>
  </si>
  <si>
    <t>Печалба за периода от прекратените операции</t>
  </si>
  <si>
    <t>Печалба за периода</t>
  </si>
  <si>
    <t>печалба за периода,%</t>
  </si>
  <si>
    <t>Отнасящо се за:</t>
  </si>
  <si>
    <t>Акционерите на компанията</t>
  </si>
  <si>
    <t>Миномитарните акционери</t>
  </si>
  <si>
    <t>Балансов отчет</t>
  </si>
  <si>
    <t>Извъноборотни активи</t>
  </si>
  <si>
    <t>Собственост, сдания и оборудвания</t>
  </si>
  <si>
    <t>Инвестиции в асоциирани предприятия</t>
  </si>
  <si>
    <t>Други дългосрочни инвестиции</t>
  </si>
  <si>
    <t>Отложени данъчни активи</t>
  </si>
  <si>
    <t>Дългосрочни лихвени дебиторска задлъжнялост</t>
  </si>
  <si>
    <t>Общо извъноборотни активи</t>
  </si>
  <si>
    <t>Оборотни активи</t>
  </si>
  <si>
    <t>Търговска и друга дебиторска задлъжнялост</t>
  </si>
  <si>
    <t>Парични средства и техния еквивалент</t>
  </si>
  <si>
    <t>Общо оборотни активи</t>
  </si>
  <si>
    <t>Общо активи</t>
  </si>
  <si>
    <t>Капитал и резерви на акционерите на компанията</t>
  </si>
  <si>
    <t>Друг собствен капитал</t>
  </si>
  <si>
    <t>Общо</t>
  </si>
  <si>
    <t>Дял на миноритарните акционери</t>
  </si>
  <si>
    <t>Общо собствен капитал</t>
  </si>
  <si>
    <t>ЗАДЪЛЖЕНИЯ</t>
  </si>
  <si>
    <t>Лихвени задължения</t>
  </si>
  <si>
    <t>Други задължения</t>
  </si>
  <si>
    <t>Общо дългосрочни задължения</t>
  </si>
  <si>
    <t>Текущи данъчни задължения</t>
  </si>
  <si>
    <t>Търговски и други дебиторски задължения</t>
  </si>
  <si>
    <t>Общо краткосрочни задължения</t>
  </si>
  <si>
    <t>Всичко задължения</t>
  </si>
  <si>
    <t>Общо собствен капитал и задължения</t>
  </si>
  <si>
    <t>Отчет за движение на паричните средства</t>
  </si>
  <si>
    <t>Поток на паричните средства от операционната дейност</t>
  </si>
  <si>
    <t>Операционна печалба преди начисляване на амортизацията , продължаващи операции</t>
  </si>
  <si>
    <t>Позиции, не отнасящи се към паричния поток и Дейност по реализация на активите</t>
  </si>
  <si>
    <t>Получени дивиденти</t>
  </si>
  <si>
    <t>Данъци</t>
  </si>
  <si>
    <t>Парични средства от операции,Продължаващи операции</t>
  </si>
  <si>
    <t>Нетни парични средства от операции, продължаващи операции</t>
  </si>
  <si>
    <t>Нетни парични средства от операции, прекратени операции</t>
  </si>
  <si>
    <t>Общо нетни парични средства от операционна дейнпост</t>
  </si>
  <si>
    <t>Поток парични средства от инвестиционна дейност</t>
  </si>
  <si>
    <t>Капитални разходи</t>
  </si>
  <si>
    <t>Придобити акции</t>
  </si>
  <si>
    <t>Постъпления от реализация на основни средства</t>
  </si>
  <si>
    <t>Постъпления от продажба на акции</t>
  </si>
  <si>
    <t>Изменения в други инвестиции</t>
  </si>
  <si>
    <t>Ч</t>
  </si>
  <si>
    <t>Нетни средства от изпълнение на инвестицонната дейност, продължаващи операции</t>
  </si>
  <si>
    <t>Нетни средства от изпълнение на инвестицонната дейност, прекратени операции</t>
  </si>
  <si>
    <t>Общо нетни парични средства от изпълнение на инсвестиционната дейност</t>
  </si>
  <si>
    <t>Паричен поток преди финансовата дейност</t>
  </si>
  <si>
    <t>Паричен поток от финансовата дейност</t>
  </si>
  <si>
    <t>Нетно изменение по кредитите</t>
  </si>
  <si>
    <t>Изплатени дивиденти на акционерите на компанията</t>
  </si>
  <si>
    <t>Други финансови позиции</t>
  </si>
  <si>
    <t>Нетни парични средства от изпълнение на финансовата дейност на продължаващи операции</t>
  </si>
  <si>
    <t>ности, продължаващи операции</t>
  </si>
  <si>
    <t>Нетни парични средства от изпълнение на финансовата дейност , прекратени операции</t>
  </si>
  <si>
    <t>Общо нетни парични средства от финансова дейност</t>
  </si>
  <si>
    <t>Всичко прираст (+), намаление (-) на парични средства и пазарни ценни книжа</t>
  </si>
  <si>
    <t>дства, продължаваща дейност</t>
  </si>
  <si>
    <t>Bul</t>
  </si>
  <si>
    <t>Преостъпен макрос</t>
  </si>
  <si>
    <t>Да се приложи макрос в XXX</t>
  </si>
  <si>
    <t>Макрофайл</t>
  </si>
  <si>
    <t>Безсрочен</t>
  </si>
  <si>
    <t>Макрофайла не е посочен</t>
  </si>
  <si>
    <t>Макросът не е посочен</t>
  </si>
  <si>
    <t>Разпределена преоценка</t>
  </si>
  <si>
    <t>&lt;Не се използва&gt;</t>
  </si>
  <si>
    <t>Покажи номера на реда</t>
  </si>
  <si>
    <t>всичко</t>
  </si>
  <si>
    <t>Метод на намаляващия остатък</t>
  </si>
  <si>
    <t>Въведи</t>
  </si>
  <si>
    <t>За действие на тази функция е необходим Invest for Excel.Моля, стартирайте Invest for Exce.</t>
  </si>
  <si>
    <t>Остатък</t>
  </si>
  <si>
    <t>Вменена</t>
  </si>
  <si>
    <t>Име на Макрос файла</t>
  </si>
  <si>
    <t>Период на макроса</t>
  </si>
  <si>
    <t>Описсание (незадължително)</t>
  </si>
  <si>
    <t>корегиран</t>
  </si>
  <si>
    <t>Данък печалба</t>
  </si>
  <si>
    <t>Елиминиране</t>
  </si>
  <si>
    <t>Изменение, годишно %</t>
  </si>
  <si>
    <t>Средногодишно дисконтиране</t>
  </si>
  <si>
    <t>средна стойност</t>
  </si>
  <si>
    <t>начално салдо</t>
  </si>
  <si>
    <t>крайно салдо</t>
  </si>
  <si>
    <t>Нетни активи</t>
  </si>
  <si>
    <t>Начисление върху нетните активи</t>
  </si>
  <si>
    <t>Група на нетните активи</t>
  </si>
  <si>
    <t>Начисления върху групата на нетните активи</t>
  </si>
  <si>
    <t>Консолидиран</t>
  </si>
  <si>
    <t>Индекс (Базова година 100)</t>
  </si>
  <si>
    <t xml:space="preserve"> Общо инвестиции, </t>
  </si>
  <si>
    <t>Срок на разчета: 5,0 години</t>
  </si>
  <si>
    <t>(в началото на  периода)</t>
  </si>
  <si>
    <t>друг Разпределение, ръст (-) / снижение (+)</t>
  </si>
  <si>
    <t>Свободен Паричен Поток (FCF)</t>
  </si>
  <si>
    <t>Дисконтиран Свободен Паричен  Поток (DFCF)</t>
  </si>
  <si>
    <t>Комулативен Дисконтиран Свободен Паричен Поток</t>
  </si>
  <si>
    <t>Безкраен паричен поток основаващ се на</t>
  </si>
  <si>
    <t>Тип на безкрайния паричен поток</t>
  </si>
  <si>
    <t xml:space="preserve">      Други операционни Доходи</t>
  </si>
  <si>
    <t>Дял на печалбата на дъщерните компании</t>
  </si>
  <si>
    <t>Друга дебиторска задлъжнялост, група</t>
  </si>
  <si>
    <t>Дебиторска задлъжнялост , група</t>
  </si>
  <si>
    <t>Кредиторска задлъжнялост, група</t>
  </si>
  <si>
    <t>Изменения по кредит.задл., група, ръст (-), намаление(+)</t>
  </si>
  <si>
    <t>Други ,свободни от лихви , текущи задължения</t>
  </si>
  <si>
    <t>Изменения в свободните от лихви текущи задължения</t>
  </si>
  <si>
    <t>Изменения в дългосрочните задължения</t>
  </si>
  <si>
    <t>Дебиторска задлъжнялост, група</t>
  </si>
  <si>
    <t>Дългосрочна лихвена задлъжнялост, група</t>
  </si>
  <si>
    <t>Доходи и Разходи Извън Реализацията</t>
  </si>
  <si>
    <t xml:space="preserve">  Начало на разчета</t>
  </si>
  <si>
    <t xml:space="preserve">  Разчетът приключва</t>
  </si>
  <si>
    <t>Срeдноср. плащания по дебит. задлъжн., дни</t>
  </si>
  <si>
    <t>Изм.. в дебит. задлъжн., група,ръст (-),намал. (+)</t>
  </si>
  <si>
    <t>Измен. в др. дебит.задлъжн., ръст(-),намал.(+)</t>
  </si>
  <si>
    <t>Мин. остатък на наличн. пари, ръст (-) / сниж.(+)</t>
  </si>
  <si>
    <t>Кредит..задл., средн. срок на изплащане, дни</t>
  </si>
  <si>
    <t>Корекц. на подоходн. данък за финанс. Позиции</t>
  </si>
  <si>
    <t>Измен. по долгоср. задлъжнял., Фин. Файл</t>
  </si>
  <si>
    <t>Измен. по долгоср. безлихв. Задлъжнялост</t>
  </si>
  <si>
    <t>Др., свободна от лихви, кратк. Задлъжнялост</t>
  </si>
  <si>
    <t>Лихвен процент</t>
  </si>
  <si>
    <t>Инвестицинно предложение</t>
  </si>
  <si>
    <t>Предполагаеми инвестиции в активи</t>
  </si>
  <si>
    <t>Инвестиционни субсидии</t>
  </si>
  <si>
    <t>Инвестиционно Предложение</t>
  </si>
  <si>
    <t>Чиста Текуща Стойност (NPV)</t>
  </si>
  <si>
    <t>NPV като ежемесечен анюитет</t>
  </si>
  <si>
    <t>Вътрешна Норма на Доходност (IRR)</t>
  </si>
  <si>
    <t>Индекс на рентабилността (PI)</t>
  </si>
  <si>
    <t>Срок на откупуване, години</t>
  </si>
  <si>
    <t>Рентабилност на чистите активи (RONA)</t>
  </si>
  <si>
    <t>Точка на разчета за откупуване</t>
  </si>
  <si>
    <t>За Акционерите</t>
  </si>
  <si>
    <t>Стойност на Собствения Капитал</t>
  </si>
  <si>
    <t xml:space="preserve">      Чист паричен поток за годината</t>
  </si>
  <si>
    <t>Период на експлоатация</t>
  </si>
  <si>
    <t>Разчетна ставка</t>
  </si>
  <si>
    <t xml:space="preserve">      Стандартен (без увеличение)</t>
  </si>
  <si>
    <t xml:space="preserve">      Ръст на годишния лихвен процент</t>
  </si>
  <si>
    <t>NPVe като месечен анюитет</t>
  </si>
  <si>
    <t>Основание за дисконтиране FCFE</t>
  </si>
  <si>
    <t>Срок на откупуване на собствения капитал, години</t>
  </si>
  <si>
    <t>Разчетен Файл</t>
  </si>
  <si>
    <t>Нетна лихвена задлъжнялост на придобитата компания</t>
  </si>
  <si>
    <t>Стойност на собств. капитал на основа на  Своб. Пар. Поток (EV)</t>
  </si>
  <si>
    <t>Предполагаеми инвестиции в акции</t>
  </si>
  <si>
    <t>Анюитет на инвестицията</t>
  </si>
  <si>
    <t>Балансова стойност на активите (А)</t>
  </si>
  <si>
    <t>Стойност от използването (B)</t>
  </si>
  <si>
    <t>Точка на расчета, Откупаемост</t>
  </si>
  <si>
    <t>Вътрешна норма на доходност.основана на DCVA (IRRd)</t>
  </si>
  <si>
    <t>Модефиц.вътр.норма доходн., основана на DCVA (MIRRd)</t>
  </si>
  <si>
    <t>Дисконтиран FCFE, без остатъчна стойност</t>
  </si>
  <si>
    <t>Текъща остатъчна стойност на собствения капитал</t>
  </si>
  <si>
    <t>Корекция на остатъка на задлъжнялост</t>
  </si>
  <si>
    <t>Чиста Текуща Стойност на Собствения Капитал (NPVe)</t>
  </si>
  <si>
    <t>Вътрешна норма на доходност на СК преди данъци</t>
  </si>
  <si>
    <t>Точка на разчета, Откупаемост</t>
  </si>
  <si>
    <t>Срок на откупуване на Собствения капитал, години</t>
  </si>
  <si>
    <t>Разчетът е изпълнен</t>
  </si>
  <si>
    <t xml:space="preserve">      Покажете изводите за  индикаторите на  рентабилността</t>
  </si>
  <si>
    <t>Вътрешна норма на доходност на Собствения Капитал(IRRe)</t>
  </si>
  <si>
    <t>Модифицирана Вътрешна Норма на Доходн. на СК (MIRRe)</t>
  </si>
  <si>
    <t>Срок за откупуване в  години. основан на DCVA</t>
  </si>
  <si>
    <t>Вътрешна норма на доходност преди данъци</t>
  </si>
  <si>
    <t>Модефицирана вътрешна норма на доходност. (MIRR)</t>
  </si>
  <si>
    <t xml:space="preserve"> Печеливш</t>
  </si>
  <si>
    <t xml:space="preserve"> Не печеливш</t>
  </si>
  <si>
    <t>Комул. диск. Свободен Паричен Поток 1/2016-&gt;</t>
  </si>
  <si>
    <t>Комул Дисконт. .Добав. Стойност 1/2016-&gt;</t>
  </si>
  <si>
    <t>Общ дисконтиран FCFE 1/2016-&gt;</t>
  </si>
  <si>
    <t>Zobowiązania, grupa</t>
  </si>
  <si>
    <t>Oprocentowane zadłużenie długoterminowe, grupa</t>
  </si>
  <si>
    <t>Dyskontowanie w połowie roku</t>
  </si>
  <si>
    <t>P05HUNC</t>
  </si>
  <si>
    <t>Abzinsung von Mitte des Geschäftsjahres</t>
  </si>
  <si>
    <t>1212122018</t>
  </si>
  <si>
    <t>12/2019</t>
  </si>
  <si>
    <t>1212122019</t>
  </si>
  <si>
    <t>12/2020</t>
  </si>
  <si>
    <t>1212122020</t>
  </si>
  <si>
    <t>12/2021</t>
  </si>
  <si>
    <t>1212122021</t>
  </si>
  <si>
    <t>12/2022</t>
  </si>
  <si>
    <t>1212122022</t>
  </si>
  <si>
    <t>Alpha Machine 37</t>
  </si>
  <si>
    <t>Euro</t>
  </si>
  <si>
    <t>Datapartner Customer Support</t>
  </si>
  <si>
    <t>Please contact us in case of any questions:</t>
  </si>
  <si>
    <t>Tel +358 19-54 10 100</t>
  </si>
  <si>
    <t>E-mail: datapartner@datapartner.fi</t>
  </si>
  <si>
    <t>Excercise, fictional machine investment.</t>
  </si>
  <si>
    <t>New copper cable machine plus production hall.</t>
  </si>
  <si>
    <t>C9000S01</t>
  </si>
  <si>
    <t>C9000S02</t>
  </si>
  <si>
    <t>C9000S03</t>
  </si>
  <si>
    <t>C2060S01</t>
  </si>
  <si>
    <t>C2060S02</t>
  </si>
  <si>
    <t>P01HUNC</t>
  </si>
  <si>
    <t>G04HUNC</t>
  </si>
  <si>
    <t>Production hall</t>
  </si>
  <si>
    <t>Maintenance</t>
  </si>
  <si>
    <t>Capacity / month</t>
  </si>
  <si>
    <t>Utilization rate</t>
  </si>
  <si>
    <t>Price / meter</t>
  </si>
  <si>
    <t>Variable cost-%</t>
  </si>
  <si>
    <t/>
  </si>
  <si>
    <t>(declining balance)</t>
  </si>
  <si>
    <t>(menojäännöksestä)</t>
  </si>
  <si>
    <t>(degressiv)</t>
  </si>
  <si>
    <t>(degresywna)</t>
  </si>
  <si>
    <t>(saldo decreciente)</t>
  </si>
  <si>
    <t>020801000</t>
  </si>
  <si>
    <t>020802000</t>
  </si>
  <si>
    <t>020803000</t>
  </si>
  <si>
    <t>020804000</t>
  </si>
  <si>
    <t>020805000</t>
  </si>
  <si>
    <t>020806000</t>
  </si>
  <si>
    <t>020807000</t>
  </si>
  <si>
    <t>020808000</t>
  </si>
  <si>
    <t>020809000</t>
  </si>
  <si>
    <t>Chart001Begin</t>
  </si>
  <si>
    <t>Cash flow</t>
  </si>
  <si>
    <t>Free cash flow (FCF)</t>
  </si>
  <si>
    <t>Cumulative discounted free cash flow</t>
  </si>
  <si>
    <t>Chart001End</t>
  </si>
  <si>
    <t>CHANGE %</t>
  </si>
  <si>
    <t>MUUTOS-%</t>
  </si>
  <si>
    <t>FÖRÄNDRING, %</t>
  </si>
  <si>
    <t>VERÄNDERUNG %</t>
  </si>
  <si>
    <t>ZMIANA %</t>
  </si>
  <si>
    <t>% CAMBIO</t>
  </si>
  <si>
    <t>% ИЗМЕНЕНИЯ</t>
  </si>
  <si>
    <t>% на ИЗМЕНЕНИЯТА</t>
  </si>
  <si>
    <t>Chart002Begin</t>
  </si>
  <si>
    <t>Chart002End</t>
  </si>
  <si>
    <t>Tornado</t>
  </si>
  <si>
    <t>Spider</t>
  </si>
  <si>
    <t>Kassavirta</t>
  </si>
  <si>
    <t>Kassaflöde</t>
  </si>
  <si>
    <t>Cash Flow</t>
  </si>
  <si>
    <t>Przepływy pieniężne</t>
  </si>
  <si>
    <t>Flujo de caja</t>
  </si>
  <si>
    <t>Денежный Поток</t>
  </si>
  <si>
    <t>Оборотен Капитал</t>
  </si>
  <si>
    <t>Торнадо</t>
  </si>
  <si>
    <t>Hämähäkki</t>
  </si>
  <si>
    <t>Spindel</t>
  </si>
  <si>
    <t>Spinne</t>
  </si>
  <si>
    <t>Pająk</t>
  </si>
  <si>
    <t>Araña</t>
  </si>
  <si>
    <t>Паук</t>
  </si>
  <si>
    <t>паукообразна</t>
  </si>
  <si>
    <t>Kone Alpha 37</t>
  </si>
  <si>
    <t>Datapartner Tuki</t>
  </si>
  <si>
    <t>Ota yhteyttä, jos sinulla on kysymyksiä:</t>
  </si>
  <si>
    <t>Puh. 019-54 10 100</t>
  </si>
  <si>
    <t>Sähköposti: datapartner@datapartner.fi</t>
  </si>
  <si>
    <t>Uusi kuparikaapelikone ja tuotantohalli.</t>
  </si>
  <si>
    <t>Tuotantohalli</t>
  </si>
  <si>
    <t>Ylläpito</t>
  </si>
  <si>
    <t>Myynti</t>
  </si>
  <si>
    <t>Kapasiteetti / kuukausi</t>
  </si>
  <si>
    <t xml:space="preserve">Käyttöaste	</t>
  </si>
  <si>
    <t>Hinta / metri</t>
  </si>
  <si>
    <t>Muuttuvat kulut-%</t>
  </si>
  <si>
    <t>Maskin Alpha 37</t>
  </si>
  <si>
    <t>Datapartner Kundsupport</t>
  </si>
  <si>
    <t>Välkommen att kontakta oss om du har frågor:</t>
  </si>
  <si>
    <t>E-post: datapartner@datapartner.fi</t>
  </si>
  <si>
    <t>Ny kopparkabelmaskin och produktionshall.</t>
  </si>
  <si>
    <t>Produktionshall</t>
  </si>
  <si>
    <t>Underhåll</t>
  </si>
  <si>
    <t>Kapacitet / månad</t>
  </si>
  <si>
    <t>Utnyttjandegrad</t>
  </si>
  <si>
    <t>Pris / meter</t>
  </si>
  <si>
    <t xml:space="preserve">Övriga rörliga kostnader	</t>
  </si>
  <si>
    <t>Rörliga kostnader-%</t>
  </si>
  <si>
    <t>Alpha Maschine 37</t>
  </si>
  <si>
    <t>Datapartner Kundensupport</t>
  </si>
  <si>
    <t>Bei Fragen wenden Sie sich bitte an uns:</t>
  </si>
  <si>
    <t>Eine neue Kupferkabelmaschine mit Produktionshalle.</t>
  </si>
  <si>
    <t>Produktionshalle</t>
  </si>
  <si>
    <t>Unterhaltung</t>
  </si>
  <si>
    <t xml:space="preserve">Verkauf	</t>
  </si>
  <si>
    <t>Kapazität / Monat</t>
  </si>
  <si>
    <t>Auslastungsgrad</t>
  </si>
  <si>
    <t>Preis / Meter</t>
  </si>
  <si>
    <t>Sonstige Variable Kosten</t>
  </si>
  <si>
    <t>Variable Kosten-%</t>
  </si>
  <si>
    <t>Maszyna Alpha 37</t>
  </si>
  <si>
    <t>Zespół Datapartner</t>
  </si>
  <si>
    <t xml:space="preserve">Prosimy o kontakt w przypadku jakichkolwiek pytań: </t>
  </si>
  <si>
    <t>Tel. +48 22 389 6110</t>
  </si>
  <si>
    <t>E-mail: datapartner@datapartner.pl</t>
  </si>
  <si>
    <t>Nowa maszyna i hala produkcyjna.</t>
  </si>
  <si>
    <t>Hala Produkzyjna</t>
  </si>
  <si>
    <t>Konserwacja</t>
  </si>
  <si>
    <t>Przychód ze sprzedaży kabli</t>
  </si>
  <si>
    <t>Wydajność (m)</t>
  </si>
  <si>
    <t>Procent wykorzystania (%)</t>
  </si>
  <si>
    <t>Cena / m</t>
  </si>
  <si>
    <t>Inne koszty zmienne</t>
  </si>
  <si>
    <t>Koszt zmienne-%</t>
  </si>
  <si>
    <t>Máquina Alfa nr 37</t>
  </si>
  <si>
    <t>Ejemplo: Inversión máquina</t>
  </si>
  <si>
    <t xml:space="preserve">Nueva máquina de cables de cobre y sala de producción - </t>
  </si>
  <si>
    <t>Máquina Alfa 37</t>
  </si>
  <si>
    <t>Sala de producción</t>
  </si>
  <si>
    <t>Mantenimiento</t>
  </si>
  <si>
    <t xml:space="preserve">Ventas </t>
  </si>
  <si>
    <t>Capacidad / mes</t>
  </si>
  <si>
    <t xml:space="preserve">Grado de utilización  </t>
  </si>
  <si>
    <t>Precio / metro</t>
  </si>
  <si>
    <t>Coste variable (%)</t>
  </si>
  <si>
    <t>Оборудование 37</t>
  </si>
  <si>
    <t>Datapartner Поддержка клиентов</t>
  </si>
  <si>
    <t>Свяжитесь с нами по любым вопросам:</t>
  </si>
  <si>
    <t>Пример: Покупка оборудования</t>
  </si>
  <si>
    <t>Новый оборудование - станок по производству медного кабеля,</t>
  </si>
  <si>
    <t>плюс производственное помещение.</t>
  </si>
  <si>
    <t>Оборудование Альфа 37</t>
  </si>
  <si>
    <t>Производственное помещение</t>
  </si>
  <si>
    <t>Обслуживание</t>
  </si>
  <si>
    <t>Мощность / месяц</t>
  </si>
  <si>
    <t>Коэффициент использования</t>
  </si>
  <si>
    <t>Цена / метр</t>
  </si>
  <si>
    <t>Другие переменные расходы</t>
  </si>
  <si>
    <t>Переменные расходы (%)</t>
  </si>
  <si>
    <t>Оборудване Alpha 37</t>
  </si>
  <si>
    <t>Пример: Инвестиция за закупувне на функционална машина</t>
  </si>
  <si>
    <t>Ново обурудване с меден кабел плюс производствено помещение</t>
  </si>
  <si>
    <t>Datapаrtner Подкрепа на клиента</t>
  </si>
  <si>
    <t>Моля, свържете с нас по всички въпроси:</t>
  </si>
  <si>
    <t>Производствено помещение</t>
  </si>
  <si>
    <t>Обслужване</t>
  </si>
  <si>
    <t>Доход от продажбите</t>
  </si>
  <si>
    <t>Капацитет/месец</t>
  </si>
  <si>
    <t>Коефициент на използване</t>
  </si>
  <si>
    <t>Цена за метър</t>
  </si>
  <si>
    <t>Променливи разходи -%</t>
  </si>
  <si>
    <t>Investment Project 1</t>
  </si>
  <si>
    <t>9/2019</t>
  </si>
  <si>
    <t>0909122019</t>
  </si>
  <si>
    <t>10/2019</t>
  </si>
  <si>
    <t>1012122019</t>
  </si>
  <si>
    <t>11/2019</t>
  </si>
  <si>
    <t>1112122019</t>
  </si>
  <si>
    <t>12/2023</t>
  </si>
  <si>
    <t>1212122023</t>
  </si>
  <si>
    <t>12/2024</t>
  </si>
  <si>
    <t>1212122024</t>
  </si>
  <si>
    <t>Region 1</t>
  </si>
  <si>
    <t>Machine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</si>
</sst>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
    <numFmt numFmtId="165" formatCode="0;\-0;&quot;&quot;"/>
    <numFmt numFmtId="166" formatCode="0.0\ %"/>
    <numFmt numFmtId="167" formatCode="0000&quot; -&gt;&quot;"/>
    <numFmt numFmtId="168" formatCode="0000"/>
    <numFmt numFmtId="169" formatCode="0.00&quot;%&quot;"/>
    <numFmt numFmtId="170" formatCode="0.0&quot; %&quot;"/>
    <numFmt numFmtId="171" formatCode="#,##0_ ;[Red]\-#,##0\ "/>
    <numFmt numFmtId="172" formatCode="#,##0;\-#,##0;&quot;&quot;"/>
    <numFmt numFmtId="173" formatCode="0.0%"/>
    <numFmt numFmtId="174" formatCode="#,##0.0"/>
    <numFmt numFmtId="175" formatCode="0.00&quot; %&quot;"/>
    <numFmt numFmtId="176" formatCode="0.0"/>
    <numFmt numFmtId="177" formatCode="\+0.0&quot; %&quot;;\-0.0&quot; %&quot;;0.0&quot; %&quot;"/>
    <numFmt numFmtId="178" formatCode="\+0.00&quot;%&quot;;\-0.00&quot;%&quot;;0.00&quot;%&quot;"/>
    <numFmt numFmtId="179" formatCode="0.000000"/>
    <numFmt numFmtId="180" formatCode="#,##0.00_ ;[Red]\-#,##0.00\ "/>
    <numFmt numFmtId="181" formatCode="\+0%;\-0%"/>
  </numFmts>
  <fonts count="82" x14ac:knownFonts="1">
    <font>
      <sz val="11"/>
      <color theme="1"/>
      <name val="Calibri"/>
      <family val="2"/>
      <scheme val="minor"/>
    </font>
    <font>
      <sz val="10"/>
      <color indexed="22"/>
      <name val="Arial"/>
      <family val="2"/>
    </font>
    <font>
      <sz val="10"/>
      <color indexed="9"/>
      <name val="Arial"/>
      <family val="2"/>
    </font>
    <font>
      <sz val="10"/>
      <name val="Arial"/>
      <family val="2"/>
    </font>
    <font>
      <b/>
      <sz val="10"/>
      <name val="Arial"/>
      <family val="2"/>
    </font>
    <font>
      <sz val="9"/>
      <color indexed="9"/>
      <name val="Arial"/>
      <family val="2"/>
    </font>
    <font>
      <sz val="10"/>
      <color indexed="8"/>
      <name val="Arial"/>
      <family val="2"/>
    </font>
    <font>
      <sz val="8"/>
      <color indexed="22"/>
      <name val="Arial"/>
      <family val="2"/>
    </font>
    <font>
      <sz val="9"/>
      <name val="Arial"/>
      <family val="2"/>
    </font>
    <font>
      <b/>
      <sz val="8"/>
      <color indexed="22"/>
      <name val="Arial"/>
      <family val="2"/>
    </font>
    <font>
      <sz val="9"/>
      <color indexed="22"/>
      <name val="Arial"/>
      <family val="2"/>
    </font>
    <font>
      <sz val="8"/>
      <name val="Arial"/>
      <family val="2"/>
    </font>
    <font>
      <b/>
      <sz val="8"/>
      <name val="Arial"/>
      <family val="2"/>
    </font>
    <font>
      <sz val="11"/>
      <color theme="0"/>
      <name val="Calibri"/>
      <family val="2"/>
      <scheme val="minor"/>
    </font>
    <font>
      <sz val="11"/>
      <name val="Calibri"/>
      <family val="2"/>
      <scheme val="minor"/>
    </font>
    <font>
      <sz val="8"/>
      <color theme="0"/>
      <name val="Arial"/>
      <family val="2"/>
    </font>
    <font>
      <sz val="11"/>
      <color theme="1"/>
      <name val="Arial"/>
      <family val="2"/>
    </font>
    <font>
      <sz val="8"/>
      <color theme="1"/>
      <name val="Arial"/>
      <family val="2"/>
    </font>
    <font>
      <sz val="10"/>
      <color theme="0"/>
      <name val="Arial"/>
      <family val="2"/>
    </font>
    <font>
      <b/>
      <sz val="10"/>
      <color theme="0"/>
      <name val="Arial"/>
      <family val="2"/>
    </font>
    <font>
      <sz val="8"/>
      <color rgb="FFF9F9F9"/>
      <name val="Arial"/>
      <family val="2"/>
    </font>
    <font>
      <b/>
      <sz val="13"/>
      <color theme="3"/>
      <name val="Calibri"/>
      <family val="2"/>
      <scheme val="minor"/>
    </font>
    <font>
      <b/>
      <sz val="11"/>
      <color theme="3"/>
      <name val="Calibri"/>
      <family val="2"/>
      <scheme val="minor"/>
    </font>
    <font>
      <b/>
      <sz val="10"/>
      <color indexed="9"/>
      <name val="Calibri"/>
      <family val="2"/>
      <scheme val="minor"/>
    </font>
    <font>
      <sz val="10"/>
      <color indexed="9"/>
      <name val="Calibri"/>
      <family val="2"/>
      <scheme val="minor"/>
    </font>
    <font>
      <sz val="10"/>
      <name val="Calibri"/>
      <family val="2"/>
      <scheme val="minor"/>
    </font>
    <font>
      <b/>
      <sz val="10"/>
      <name val="Calibri"/>
      <family val="2"/>
      <scheme val="minor"/>
    </font>
    <font>
      <sz val="9"/>
      <color indexed="9"/>
      <name val="Calibri"/>
      <family val="2"/>
      <scheme val="minor"/>
    </font>
    <font>
      <sz val="10"/>
      <color theme="1"/>
      <name val="Calibri"/>
      <family val="2"/>
      <scheme val="minor"/>
    </font>
    <font>
      <sz val="10"/>
      <color indexed="8"/>
      <name val="Calibri"/>
      <family val="2"/>
      <scheme val="minor"/>
    </font>
    <font>
      <sz val="10"/>
      <color indexed="10"/>
      <name val="Calibri"/>
      <family val="2"/>
      <scheme val="minor"/>
    </font>
    <font>
      <sz val="9"/>
      <name val="Calibri"/>
      <family val="2"/>
      <scheme val="minor"/>
    </font>
    <font>
      <b/>
      <sz val="9"/>
      <color indexed="10"/>
      <name val="Calibri"/>
      <family val="2"/>
      <scheme val="minor"/>
    </font>
    <font>
      <b/>
      <sz val="9"/>
      <name val="Calibri"/>
      <family val="2"/>
      <scheme val="minor"/>
    </font>
    <font>
      <b/>
      <sz val="11"/>
      <color indexed="9"/>
      <name val="Calibri"/>
      <family val="2"/>
      <scheme val="minor"/>
    </font>
    <font>
      <sz val="11"/>
      <color indexed="9"/>
      <name val="Calibri"/>
      <family val="2"/>
      <scheme val="minor"/>
    </font>
    <font>
      <b/>
      <sz val="11"/>
      <name val="Calibri"/>
      <family val="2"/>
      <scheme val="minor"/>
    </font>
    <font>
      <sz val="11"/>
      <color indexed="8"/>
      <name val="Calibri"/>
      <family val="2"/>
      <scheme val="minor"/>
    </font>
    <font>
      <sz val="11"/>
      <color indexed="10"/>
      <name val="Calibri"/>
      <family val="2"/>
      <scheme val="minor"/>
    </font>
    <font>
      <sz val="12"/>
      <name val="Calibri"/>
      <family val="2"/>
      <scheme val="minor"/>
    </font>
    <font>
      <sz val="12"/>
      <color theme="1"/>
      <name val="Calibri"/>
      <family val="2"/>
      <scheme val="minor"/>
    </font>
    <font>
      <sz val="9"/>
      <color theme="1"/>
      <name val="Calibri"/>
      <family val="2"/>
      <scheme val="minor"/>
    </font>
    <font>
      <b/>
      <sz val="9"/>
      <color indexed="9"/>
      <name val="Calibri"/>
      <family val="2"/>
      <scheme val="minor"/>
    </font>
    <font>
      <sz val="9"/>
      <color rgb="FFF9F9F9"/>
      <name val="Calibri"/>
      <family val="2"/>
      <scheme val="minor"/>
    </font>
    <font>
      <sz val="9"/>
      <color indexed="10"/>
      <name val="Calibri"/>
      <family val="2"/>
      <scheme val="minor"/>
    </font>
    <font>
      <sz val="9"/>
      <color indexed="22"/>
      <name val="Calibri"/>
      <family val="2"/>
      <scheme val="minor"/>
    </font>
    <font>
      <b/>
      <sz val="9"/>
      <color indexed="58"/>
      <name val="Calibri"/>
      <family val="2"/>
      <scheme val="minor"/>
    </font>
    <font>
      <sz val="9"/>
      <color indexed="58"/>
      <name val="Calibri"/>
      <family val="2"/>
      <scheme val="minor"/>
    </font>
    <font>
      <u/>
      <sz val="9"/>
      <color indexed="58"/>
      <name val="Calibri"/>
      <family val="2"/>
      <scheme val="minor"/>
    </font>
    <font>
      <u/>
      <sz val="9"/>
      <name val="Calibri"/>
      <family val="2"/>
      <scheme val="minor"/>
    </font>
    <font>
      <sz val="9"/>
      <color indexed="63"/>
      <name val="Calibri"/>
      <family val="2"/>
      <scheme val="minor"/>
    </font>
    <font>
      <sz val="11"/>
      <color indexed="63"/>
      <name val="Calibri"/>
      <family val="2"/>
      <scheme val="minor"/>
    </font>
    <font>
      <b/>
      <sz val="9"/>
      <color indexed="63"/>
      <name val="Calibri"/>
      <family val="2"/>
      <scheme val="minor"/>
    </font>
    <font>
      <sz val="9"/>
      <color theme="0"/>
      <name val="Calibri"/>
      <family val="2"/>
      <scheme val="minor"/>
    </font>
    <font>
      <b/>
      <sz val="9"/>
      <color theme="0"/>
      <name val="Calibri"/>
      <family val="2"/>
      <scheme val="minor"/>
    </font>
    <font>
      <sz val="10"/>
      <color indexed="22"/>
      <name val="Calibri"/>
      <family val="2"/>
      <scheme val="minor"/>
    </font>
    <font>
      <b/>
      <sz val="9"/>
      <color indexed="22"/>
      <name val="Calibri"/>
      <family val="2"/>
      <scheme val="minor"/>
    </font>
    <font>
      <sz val="11"/>
      <color indexed="22"/>
      <name val="Calibri"/>
      <family val="2"/>
      <scheme val="minor"/>
    </font>
    <font>
      <u/>
      <sz val="10"/>
      <name val="Calibri"/>
      <family val="2"/>
      <scheme val="minor"/>
    </font>
    <font>
      <sz val="10"/>
      <color indexed="52"/>
      <name val="Calibri"/>
      <family val="2"/>
      <scheme val="minor"/>
    </font>
    <font>
      <b/>
      <sz val="10"/>
      <color theme="0"/>
      <name val="Calibri"/>
      <family val="2"/>
      <scheme val="minor"/>
    </font>
    <font>
      <sz val="12"/>
      <color theme="0"/>
      <name val="Calibri"/>
      <family val="2"/>
      <scheme val="minor"/>
    </font>
    <font>
      <sz val="10"/>
      <color theme="0"/>
      <name val="Calibri"/>
      <family val="2"/>
      <scheme val="minor"/>
    </font>
    <font>
      <sz val="9"/>
      <color theme="3"/>
      <name val="Calibri"/>
      <family val="2"/>
      <scheme val="minor"/>
    </font>
    <font>
      <sz val="9"/>
      <color indexed="56"/>
      <name val="Calibri"/>
      <family val="2"/>
      <scheme val="minor"/>
    </font>
    <font>
      <b/>
      <sz val="11"/>
      <color indexed="16"/>
      <name val="Calibri"/>
      <family val="2"/>
      <scheme val="minor"/>
    </font>
    <font>
      <i/>
      <sz val="10"/>
      <name val="Calibri"/>
      <family val="2"/>
      <scheme val="minor"/>
    </font>
    <font>
      <b/>
      <u/>
      <sz val="11"/>
      <name val="Calibri"/>
      <family val="2"/>
      <scheme val="minor"/>
    </font>
    <font>
      <sz val="10"/>
      <color theme="1"/>
      <name val="Arial"/>
      <family val="2"/>
    </font>
    <font>
      <sz val="11"/>
      <color rgb="FFF4F7F7"/>
      <name val="Calibri"/>
      <family val="2"/>
      <scheme val="minor"/>
    </font>
    <font>
      <sz val="10"/>
      <color rgb="FFF4F7F7"/>
      <name val="Arial"/>
      <family val="2"/>
    </font>
    <font>
      <sz val="11"/>
      <color rgb="FFF4F7FA"/>
      <name val="Calibri"/>
      <family val="2"/>
      <scheme val="minor"/>
    </font>
    <font>
      <sz val="10"/>
      <color rgb="FFF4F7FA"/>
      <name val="Arial"/>
      <family val="2"/>
    </font>
    <font>
      <b/>
      <sz val="11"/>
      <color theme="1"/>
      <name val="Calibri"/>
      <family val="2"/>
      <scheme val="minor"/>
    </font>
    <font>
      <sz val="10"/>
      <color theme="3"/>
      <name val="Calibri"/>
      <family val="2"/>
      <scheme val="minor"/>
    </font>
    <font>
      <b/>
      <sz val="11"/>
      <color theme="0"/>
      <name val="Calibri"/>
      <family val="2"/>
      <scheme val="minor"/>
    </font>
    <font>
      <b/>
      <sz val="9"/>
      <color rgb="FFF9F9F9"/>
      <name val="Calibri"/>
      <family val="2"/>
      <scheme val="minor"/>
    </font>
    <font>
      <sz val="11"/>
      <color rgb="FFF9F9F9"/>
      <name val="Calibri"/>
      <family val="2"/>
      <scheme val="minor"/>
    </font>
    <font>
      <sz val="10"/>
      <color indexed="10"/>
      <name val="Arial"/>
      <family val="2"/>
    </font>
    <font>
      <sz val="11"/>
      <color rgb="FFFF0000"/>
      <name val="Calibri"/>
      <family val="2"/>
      <scheme val="minor"/>
    </font>
    <font>
      <sz val="10"/>
      <color rgb="FFFF0000"/>
      <name val="Arial"/>
      <family val="2"/>
    </font>
    <font>
      <sz val="8"/>
      <color rgb="FF000000"/>
      <name val="Tahoma"/>
      <family val="2"/>
    </font>
  </fonts>
  <fills count="3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52"/>
        <bgColor indexed="64"/>
      </patternFill>
    </fill>
    <fill>
      <patternFill patternType="solid">
        <fgColor indexed="65"/>
        <bgColor indexed="64"/>
      </patternFill>
    </fill>
    <fill>
      <patternFill patternType="solid">
        <fgColor indexed="11"/>
        <bgColor indexed="64"/>
      </patternFill>
    </fill>
    <fill>
      <patternFill patternType="solid">
        <fgColor theme="4"/>
        <bgColor indexed="64"/>
      </patternFill>
    </fill>
    <fill>
      <patternFill patternType="solid">
        <fgColor rgb="FFFFC000"/>
        <bgColor indexed="64"/>
      </patternFill>
    </fill>
    <fill>
      <patternFill patternType="solid">
        <fgColor rgb="FF0070C0"/>
        <bgColor indexed="64"/>
      </patternFill>
    </fill>
    <fill>
      <patternFill patternType="solid">
        <fgColor theme="3"/>
        <bgColor indexed="64"/>
      </patternFill>
    </fill>
    <fill>
      <patternFill patternType="solid">
        <fgColor rgb="FF92D050"/>
        <bgColor indexed="64"/>
      </patternFill>
    </fill>
    <fill>
      <patternFill patternType="solid">
        <fgColor rgb="FF0070C0"/>
        <bgColor indexed="9"/>
      </patternFill>
    </fill>
    <fill>
      <patternFill patternType="solid">
        <fgColor rgb="FFFF0000"/>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0" tint="-4.9989318521683403E-2"/>
        <bgColor indexed="9"/>
      </patternFill>
    </fill>
    <fill>
      <patternFill patternType="solid">
        <fgColor rgb="FFF9F9F9"/>
        <bgColor indexed="64"/>
      </patternFill>
    </fill>
    <fill>
      <patternFill patternType="solid">
        <fgColor rgb="FF7030A0"/>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theme="9" tint="-0.249977111117893"/>
        <bgColor indexed="64"/>
      </patternFill>
    </fill>
    <fill>
      <patternFill patternType="solid">
        <fgColor theme="9"/>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9"/>
      </patternFill>
    </fill>
    <fill>
      <patternFill patternType="solid">
        <fgColor indexed="52"/>
        <bgColor indexed="9"/>
      </patternFill>
    </fill>
  </fills>
  <borders count="1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64"/>
      </top>
      <bottom/>
      <diagonal/>
    </border>
    <border>
      <left style="thin">
        <color indexed="55"/>
      </left>
      <right/>
      <top/>
      <bottom/>
      <diagonal/>
    </border>
    <border>
      <left style="thin">
        <color indexed="55"/>
      </left>
      <right/>
      <top style="thin">
        <color indexed="55"/>
      </top>
      <bottom/>
      <diagonal/>
    </border>
    <border>
      <left/>
      <right style="thin">
        <color indexed="64"/>
      </right>
      <top style="thin">
        <color indexed="55"/>
      </top>
      <bottom/>
      <diagonal/>
    </border>
    <border>
      <left/>
      <right/>
      <top style="thin">
        <color indexed="55"/>
      </top>
      <bottom/>
      <diagonal/>
    </border>
    <border>
      <left style="thin">
        <color indexed="55"/>
      </left>
      <right/>
      <top/>
      <bottom style="thin">
        <color indexed="55"/>
      </bottom>
      <diagonal/>
    </border>
    <border>
      <left/>
      <right style="thin">
        <color indexed="64"/>
      </right>
      <top/>
      <bottom style="thin">
        <color indexed="55"/>
      </bottom>
      <diagonal/>
    </border>
    <border>
      <left/>
      <right/>
      <top/>
      <bottom style="thin">
        <color indexed="55"/>
      </bottom>
      <diagonal/>
    </border>
    <border>
      <left/>
      <right/>
      <top/>
      <bottom style="thin">
        <color indexed="22"/>
      </bottom>
      <diagonal/>
    </border>
    <border>
      <left/>
      <right style="thin">
        <color indexed="64"/>
      </right>
      <top/>
      <bottom style="thin">
        <color indexed="22"/>
      </bottom>
      <diagonal/>
    </border>
    <border>
      <left style="thin">
        <color indexed="64"/>
      </left>
      <right/>
      <top/>
      <bottom style="thin">
        <color indexed="55"/>
      </bottom>
      <diagonal/>
    </border>
    <border>
      <left/>
      <right/>
      <top/>
      <bottom style="thin">
        <color indexed="23"/>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55"/>
      </bottom>
      <diagonal/>
    </border>
    <border>
      <left/>
      <right/>
      <top style="thin">
        <color indexed="64"/>
      </top>
      <bottom style="thin">
        <color indexed="55"/>
      </bottom>
      <diagonal/>
    </border>
    <border>
      <left/>
      <right style="thin">
        <color indexed="64"/>
      </right>
      <top style="thin">
        <color indexed="64"/>
      </top>
      <bottom style="thin">
        <color indexed="55"/>
      </bottom>
      <diagonal/>
    </border>
    <border>
      <left/>
      <right/>
      <top style="thin">
        <color indexed="55"/>
      </top>
      <bottom style="thin">
        <color indexed="55"/>
      </bottom>
      <diagonal/>
    </border>
    <border>
      <left style="thin">
        <color indexed="64"/>
      </left>
      <right/>
      <top style="thin">
        <color indexed="55"/>
      </top>
      <bottom style="thin">
        <color indexed="55"/>
      </bottom>
      <diagonal/>
    </border>
    <border>
      <left/>
      <right style="thin">
        <color indexed="64"/>
      </right>
      <top style="thin">
        <color indexed="55"/>
      </top>
      <bottom style="thin">
        <color indexed="55"/>
      </bottom>
      <diagonal/>
    </border>
    <border>
      <left style="thin">
        <color indexed="54"/>
      </left>
      <right style="thin">
        <color indexed="54"/>
      </right>
      <top style="thin">
        <color indexed="54"/>
      </top>
      <bottom style="thin">
        <color indexed="54"/>
      </bottom>
      <diagonal/>
    </border>
    <border>
      <left style="thin">
        <color indexed="55"/>
      </left>
      <right style="thin">
        <color indexed="64"/>
      </right>
      <top style="thin">
        <color indexed="64"/>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style="thin">
        <color indexed="64"/>
      </right>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top/>
      <bottom/>
      <diagonal/>
    </border>
    <border>
      <left style="thin">
        <color indexed="54"/>
      </left>
      <right/>
      <top style="thin">
        <color indexed="54"/>
      </top>
      <bottom/>
      <diagonal/>
    </border>
    <border>
      <left/>
      <right style="thin">
        <color indexed="54"/>
      </right>
      <top style="thin">
        <color indexed="54"/>
      </top>
      <bottom/>
      <diagonal/>
    </border>
    <border>
      <left/>
      <right/>
      <top style="thin">
        <color indexed="54"/>
      </top>
      <bottom/>
      <diagonal/>
    </border>
    <border>
      <left/>
      <right style="thin">
        <color indexed="63"/>
      </right>
      <top/>
      <bottom/>
      <diagonal/>
    </border>
    <border>
      <left style="thin">
        <color indexed="54"/>
      </left>
      <right/>
      <top/>
      <bottom style="thin">
        <color indexed="54"/>
      </bottom>
      <diagonal/>
    </border>
    <border>
      <left/>
      <right style="thin">
        <color indexed="54"/>
      </right>
      <top/>
      <bottom style="thin">
        <color indexed="54"/>
      </bottom>
      <diagonal/>
    </border>
    <border>
      <left/>
      <right/>
      <top/>
      <bottom style="thin">
        <color indexed="54"/>
      </bottom>
      <diagonal/>
    </border>
    <border>
      <left style="thin">
        <color indexed="54"/>
      </left>
      <right/>
      <top/>
      <bottom/>
      <diagonal/>
    </border>
    <border>
      <left/>
      <right style="thin">
        <color indexed="54"/>
      </right>
      <top/>
      <bottom/>
      <diagonal/>
    </border>
    <border>
      <left style="thin">
        <color indexed="54"/>
      </left>
      <right/>
      <top style="thin">
        <color indexed="54"/>
      </top>
      <bottom style="thin">
        <color indexed="54"/>
      </bottom>
      <diagonal/>
    </border>
    <border>
      <left/>
      <right/>
      <top style="thin">
        <color indexed="54"/>
      </top>
      <bottom style="thin">
        <color indexed="54"/>
      </bottom>
      <diagonal/>
    </border>
    <border>
      <left/>
      <right style="thin">
        <color indexed="54"/>
      </right>
      <top style="thin">
        <color indexed="54"/>
      </top>
      <bottom style="thin">
        <color indexed="54"/>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style="thin">
        <color indexed="63"/>
      </left>
      <right/>
      <top style="thin">
        <color indexed="64"/>
      </top>
      <bottom/>
      <diagonal/>
    </border>
    <border>
      <left/>
      <right style="thin">
        <color indexed="63"/>
      </right>
      <top style="thin">
        <color indexed="64"/>
      </top>
      <bottom/>
      <diagonal/>
    </border>
    <border>
      <left/>
      <right/>
      <top style="thin">
        <color indexed="64"/>
      </top>
      <bottom style="double">
        <color indexed="6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16"/>
      </left>
      <right style="thin">
        <color indexed="16"/>
      </right>
      <top style="thin">
        <color indexed="16"/>
      </top>
      <bottom/>
      <diagonal/>
    </border>
    <border>
      <left style="thin">
        <color indexed="16"/>
      </left>
      <right style="thin">
        <color indexed="16"/>
      </right>
      <top/>
      <bottom/>
      <diagonal/>
    </border>
    <border>
      <left style="thin">
        <color indexed="16"/>
      </left>
      <right style="thin">
        <color indexed="16"/>
      </right>
      <top/>
      <bottom style="thin">
        <color indexed="16"/>
      </bottom>
      <diagonal/>
    </border>
    <border>
      <left style="medium">
        <color indexed="64"/>
      </left>
      <right style="medium">
        <color indexed="64"/>
      </right>
      <top style="medium">
        <color indexed="64"/>
      </top>
      <bottom/>
      <diagonal/>
    </border>
    <border>
      <left style="thin">
        <color indexed="12"/>
      </left>
      <right style="thin">
        <color indexed="12"/>
      </right>
      <top style="thin">
        <color indexed="12"/>
      </top>
      <bottom style="thin">
        <color indexed="12"/>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right/>
      <top style="thin">
        <color indexed="12"/>
      </top>
      <bottom/>
      <diagonal/>
    </border>
    <border>
      <left/>
      <right style="thin">
        <color indexed="12"/>
      </right>
      <top style="thin">
        <color indexed="12"/>
      </top>
      <bottom/>
      <diagonal/>
    </border>
    <border>
      <left style="medium">
        <color indexed="64"/>
      </left>
      <right style="medium">
        <color indexed="64"/>
      </right>
      <top/>
      <bottom style="medium">
        <color indexed="64"/>
      </bottom>
      <diagonal/>
    </border>
    <border>
      <left style="thin">
        <color indexed="12"/>
      </left>
      <right/>
      <top/>
      <bottom style="thin">
        <color indexed="12"/>
      </bottom>
      <diagonal/>
    </border>
    <border>
      <left/>
      <right style="thin">
        <color indexed="12"/>
      </right>
      <top/>
      <bottom style="thin">
        <color indexed="12"/>
      </bottom>
      <diagonal/>
    </border>
    <border>
      <left style="thin">
        <color indexed="64"/>
      </left>
      <right/>
      <top style="thin">
        <color indexed="12"/>
      </top>
      <bottom style="thin">
        <color indexed="12"/>
      </bottom>
      <diagonal/>
    </border>
    <border>
      <left style="medium">
        <color indexed="64"/>
      </left>
      <right/>
      <top/>
      <bottom style="medium">
        <color indexed="64"/>
      </bottom>
      <diagonal/>
    </border>
    <border>
      <left/>
      <right/>
      <top style="thin">
        <color auto="1"/>
      </top>
      <bottom/>
      <diagonal/>
    </border>
    <border>
      <left style="thin">
        <color indexed="64"/>
      </left>
      <right style="thin">
        <color indexed="64"/>
      </right>
      <top style="thin">
        <color auto="1"/>
      </top>
      <bottom/>
      <diagonal/>
    </border>
    <border>
      <left style="medium">
        <color indexed="64"/>
      </left>
      <right style="thin">
        <color indexed="64"/>
      </right>
      <top/>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indexed="55"/>
      </top>
      <bottom/>
      <diagonal/>
    </border>
    <border>
      <left style="thin">
        <color theme="0" tint="-0.499984740745262"/>
      </left>
      <right style="thin">
        <color theme="0" tint="-0.499984740745262"/>
      </right>
      <top/>
      <bottom style="thin">
        <color indexed="55"/>
      </bottom>
      <diagonal/>
    </border>
    <border>
      <left style="thin">
        <color theme="0" tint="-0.499984740745262"/>
      </left>
      <right style="thin">
        <color theme="0" tint="-0.499984740745262"/>
      </right>
      <top/>
      <bottom style="thin">
        <color indexed="22"/>
      </bottom>
      <diagonal/>
    </border>
    <border>
      <left style="thin">
        <color theme="0" tint="-0.499984740745262"/>
      </left>
      <right style="thin">
        <color theme="0" tint="-0.499984740745262"/>
      </right>
      <top/>
      <bottom style="thin">
        <color indexed="23"/>
      </bottom>
      <diagonal/>
    </border>
    <border>
      <left style="thin">
        <color theme="0" tint="-0.499984740745262"/>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thin">
        <color indexed="64"/>
      </top>
      <bottom style="thin">
        <color indexed="55"/>
      </bottom>
      <diagonal/>
    </border>
    <border>
      <left style="thin">
        <color theme="0" tint="-0.499984740745262"/>
      </left>
      <right style="thin">
        <color theme="0" tint="-0.499984740745262"/>
      </right>
      <top style="thin">
        <color indexed="55"/>
      </top>
      <bottom style="thin">
        <color indexed="55"/>
      </bottom>
      <diagonal/>
    </border>
    <border>
      <left/>
      <right style="thin">
        <color theme="0" tint="-0.499984740745262"/>
      </right>
      <top style="thin">
        <color indexed="64"/>
      </top>
      <bottom style="thin">
        <color indexed="64"/>
      </bottom>
      <diagonal/>
    </border>
    <border>
      <left/>
      <right style="thin">
        <color theme="0" tint="-0.499984740745262"/>
      </right>
      <top style="thin">
        <color indexed="64"/>
      </top>
      <bottom style="thin">
        <color indexed="55"/>
      </bottom>
      <diagonal/>
    </border>
    <border>
      <left/>
      <right style="thin">
        <color theme="0" tint="-0.499984740745262"/>
      </right>
      <top style="thin">
        <color indexed="55"/>
      </top>
      <bottom style="thin">
        <color indexed="55"/>
      </bottom>
      <diagonal/>
    </border>
    <border>
      <left/>
      <right style="thin">
        <color theme="0" tint="-0.499984740745262"/>
      </right>
      <top/>
      <bottom style="thin">
        <color indexed="55"/>
      </bottom>
      <diagonal/>
    </border>
    <border>
      <left/>
      <right style="thin">
        <color theme="0" tint="-0.499984740745262"/>
      </right>
      <top/>
      <bottom style="thin">
        <color indexed="64"/>
      </bottom>
      <diagonal/>
    </border>
    <border>
      <left/>
      <right style="thin">
        <color theme="0" tint="-0.499984740745262"/>
      </right>
      <top style="thin">
        <color indexed="64"/>
      </top>
      <bottom/>
      <diagonal/>
    </border>
    <border>
      <left/>
      <right style="thin">
        <color theme="0" tint="-0.499984740745262"/>
      </right>
      <top/>
      <bottom/>
      <diagonal/>
    </border>
    <border>
      <left/>
      <right style="thin">
        <color theme="0" tint="-0.499984740745262"/>
      </right>
      <top style="medium">
        <color indexed="64"/>
      </top>
      <bottom style="medium">
        <color indexed="64"/>
      </bottom>
      <diagonal/>
    </border>
    <border>
      <left/>
      <right style="thin">
        <color theme="0" tint="-0.499984740745262"/>
      </right>
      <top/>
      <bottom style="thin">
        <color indexed="23"/>
      </bottom>
      <diagonal/>
    </border>
    <border>
      <left/>
      <right style="thin">
        <color theme="0" tint="-0.499984740745262"/>
      </right>
      <top/>
      <bottom style="thin">
        <color indexed="22"/>
      </bottom>
      <diagonal/>
    </border>
    <border>
      <left/>
      <right style="thin">
        <color theme="0" tint="-0.499984740745262"/>
      </right>
      <top style="thin">
        <color indexed="55"/>
      </top>
      <bottom/>
      <diagonal/>
    </border>
    <border>
      <left style="thin">
        <color indexed="64"/>
      </left>
      <right style="thin">
        <color theme="0" tint="-0.499984740745262"/>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theme="0" tint="-0.499984740745262"/>
      </left>
      <right style="thin">
        <color auto="1"/>
      </right>
      <top/>
      <bottom/>
      <diagonal/>
    </border>
    <border>
      <left style="thin">
        <color theme="0" tint="-0.499984740745262"/>
      </left>
      <right style="thin">
        <color auto="1"/>
      </right>
      <top/>
      <bottom style="thin">
        <color indexed="64"/>
      </bottom>
      <diagonal/>
    </border>
    <border>
      <left style="thin">
        <color theme="0" tint="-0.499984740745262"/>
      </left>
      <right style="thin">
        <color auto="1"/>
      </right>
      <top style="thin">
        <color indexed="64"/>
      </top>
      <bottom style="thin">
        <color indexed="64"/>
      </bottom>
      <diagonal/>
    </border>
    <border>
      <left style="thin">
        <color theme="0" tint="-0.499984740745262"/>
      </left>
      <right style="thin">
        <color auto="1"/>
      </right>
      <top style="thin">
        <color indexed="64"/>
      </top>
      <bottom/>
      <diagonal/>
    </border>
    <border>
      <left style="thin">
        <color theme="0" tint="-0.499984740745262"/>
      </left>
      <right style="thin">
        <color auto="1"/>
      </right>
      <top style="medium">
        <color indexed="64"/>
      </top>
      <bottom style="medium">
        <color indexed="64"/>
      </bottom>
      <diagonal/>
    </border>
    <border>
      <left style="thin">
        <color theme="0" tint="-0.499984740745262"/>
      </left>
      <right style="thin">
        <color indexed="64"/>
      </right>
      <top style="thin">
        <color theme="0" tint="-0.499984740745262"/>
      </top>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style="thin">
        <color indexed="23"/>
      </left>
      <right/>
      <top style="thin">
        <color indexed="23"/>
      </top>
      <bottom style="thin">
        <color indexed="23"/>
      </bottom>
      <diagonal/>
    </border>
  </borders>
  <cellStyleXfs count="2">
    <xf numFmtId="0" fontId="0" fillId="0" borderId="0"/>
    <xf numFmtId="0" fontId="3" fillId="0" borderId="0"/>
  </cellStyleXfs>
  <cellXfs count="1414">
    <xf numFmtId="0" fontId="0" fillId="0" borderId="0" xfId="0"/>
    <xf numFmtId="0" fontId="3" fillId="0" borderId="0" xfId="0" applyFont="1" applyFill="1" applyBorder="1" applyAlignment="1" applyProtection="1">
      <alignment vertical="center"/>
      <protection hidden="1"/>
    </xf>
    <xf numFmtId="0" fontId="3" fillId="0" borderId="0" xfId="0" applyFont="1" applyFill="1" applyBorder="1" applyProtection="1">
      <protection hidden="1"/>
    </xf>
    <xf numFmtId="0" fontId="0" fillId="0" borderId="0" xfId="0" applyFill="1" applyBorder="1" applyProtection="1">
      <protection hidden="1"/>
    </xf>
    <xf numFmtId="0" fontId="0" fillId="0" borderId="0" xfId="0" applyProtection="1">
      <protection hidden="1"/>
    </xf>
    <xf numFmtId="0" fontId="0" fillId="2" borderId="0" xfId="0" applyFill="1"/>
    <xf numFmtId="0" fontId="8" fillId="0" borderId="0" xfId="0" applyFont="1" applyFill="1" applyBorder="1" applyAlignment="1" applyProtection="1">
      <alignment vertical="center"/>
      <protection hidden="1"/>
    </xf>
    <xf numFmtId="3" fontId="8" fillId="0" borderId="0" xfId="0" applyNumberFormat="1" applyFont="1" applyFill="1" applyBorder="1" applyAlignment="1" applyProtection="1">
      <alignment horizontal="right" vertical="center"/>
      <protection hidden="1"/>
    </xf>
    <xf numFmtId="0" fontId="0" fillId="3" borderId="0" xfId="0" applyFill="1"/>
    <xf numFmtId="0" fontId="3" fillId="2" borderId="0" xfId="0" applyFont="1" applyFill="1"/>
    <xf numFmtId="49" fontId="4" fillId="4" borderId="66" xfId="0" applyNumberFormat="1" applyFont="1" applyFill="1" applyBorder="1" applyProtection="1">
      <protection locked="0"/>
    </xf>
    <xf numFmtId="0" fontId="0" fillId="4" borderId="67" xfId="0" applyFill="1" applyBorder="1" applyProtection="1">
      <protection locked="0"/>
    </xf>
    <xf numFmtId="0" fontId="0" fillId="3" borderId="67" xfId="0" applyFill="1" applyBorder="1"/>
    <xf numFmtId="0" fontId="4" fillId="4" borderId="67" xfId="0" applyFont="1" applyFill="1" applyBorder="1" applyProtection="1">
      <protection locked="0"/>
    </xf>
    <xf numFmtId="0" fontId="0" fillId="3" borderId="68" xfId="0" applyFill="1" applyBorder="1"/>
    <xf numFmtId="0" fontId="4" fillId="4" borderId="68" xfId="0" applyFont="1" applyFill="1" applyBorder="1" applyProtection="1">
      <protection locked="0"/>
    </xf>
    <xf numFmtId="0" fontId="0" fillId="4" borderId="68" xfId="0" applyFill="1" applyBorder="1" applyProtection="1">
      <protection locked="0"/>
    </xf>
    <xf numFmtId="0" fontId="3" fillId="0" borderId="0" xfId="0" applyFont="1" applyFill="1" applyProtection="1">
      <protection locked="0"/>
    </xf>
    <xf numFmtId="0" fontId="3" fillId="0" borderId="0" xfId="0" applyFont="1" applyFill="1" applyAlignment="1" applyProtection="1">
      <alignment horizontal="center"/>
      <protection locked="0"/>
    </xf>
    <xf numFmtId="0" fontId="3" fillId="0" borderId="0" xfId="0" applyNumberFormat="1" applyFont="1" applyFill="1" applyAlignment="1" applyProtection="1">
      <protection hidden="1"/>
    </xf>
    <xf numFmtId="0" fontId="3" fillId="0" borderId="0" xfId="0" applyFont="1" applyFill="1" applyAlignment="1" applyProtection="1">
      <protection locked="0"/>
    </xf>
    <xf numFmtId="0" fontId="3" fillId="0" borderId="12" xfId="0" applyFont="1" applyFill="1" applyBorder="1" applyProtection="1">
      <protection locked="0"/>
    </xf>
    <xf numFmtId="0" fontId="3" fillId="0" borderId="17" xfId="0" applyFont="1" applyFill="1" applyBorder="1"/>
    <xf numFmtId="0" fontId="3" fillId="0" borderId="1" xfId="0" applyFont="1" applyFill="1" applyBorder="1"/>
    <xf numFmtId="0" fontId="3" fillId="0" borderId="14" xfId="0" applyFont="1" applyFill="1" applyBorder="1" applyAlignment="1" applyProtection="1">
      <alignment horizontal="center"/>
      <protection locked="0"/>
    </xf>
    <xf numFmtId="49" fontId="3" fillId="0" borderId="3" xfId="0" applyNumberFormat="1" applyFont="1" applyFill="1" applyBorder="1" applyProtection="1">
      <protection locked="0"/>
    </xf>
    <xf numFmtId="49" fontId="3" fillId="0" borderId="1" xfId="0" applyNumberFormat="1" applyFont="1" applyFill="1" applyBorder="1" applyProtection="1">
      <protection locked="0"/>
    </xf>
    <xf numFmtId="179" fontId="3" fillId="0" borderId="3" xfId="0" applyNumberFormat="1" applyFont="1" applyFill="1" applyBorder="1" applyProtection="1">
      <protection locked="0"/>
    </xf>
    <xf numFmtId="0" fontId="3" fillId="0" borderId="0" xfId="0" applyFont="1" applyFill="1"/>
    <xf numFmtId="0" fontId="3" fillId="0" borderId="4" xfId="0" applyFont="1" applyFill="1" applyBorder="1" applyProtection="1">
      <protection locked="0"/>
    </xf>
    <xf numFmtId="0" fontId="3" fillId="0" borderId="5" xfId="0" quotePrefix="1" applyFont="1" applyFill="1" applyBorder="1" applyProtection="1">
      <protection locked="0"/>
    </xf>
    <xf numFmtId="0" fontId="3" fillId="0" borderId="9" xfId="0" applyFont="1" applyFill="1" applyBorder="1"/>
    <xf numFmtId="0" fontId="3" fillId="0" borderId="9" xfId="0" applyFont="1" applyFill="1" applyBorder="1" applyAlignment="1">
      <alignment vertical="top"/>
    </xf>
    <xf numFmtId="49" fontId="3" fillId="0" borderId="12" xfId="0" applyNumberFormat="1" applyFont="1" applyFill="1" applyBorder="1" applyProtection="1">
      <protection locked="0"/>
    </xf>
    <xf numFmtId="49" fontId="3" fillId="0" borderId="0" xfId="0" applyNumberFormat="1" applyFont="1" applyFill="1" applyBorder="1" applyProtection="1">
      <protection locked="0"/>
    </xf>
    <xf numFmtId="0" fontId="3" fillId="0" borderId="9" xfId="0" applyFont="1" applyFill="1" applyBorder="1" applyProtection="1">
      <protection locked="0"/>
    </xf>
    <xf numFmtId="0" fontId="3" fillId="0" borderId="7" xfId="0" applyFont="1" applyFill="1" applyBorder="1" applyProtection="1">
      <protection locked="0"/>
    </xf>
    <xf numFmtId="0" fontId="3" fillId="0" borderId="0" xfId="0" applyFont="1" applyFill="1" applyBorder="1" applyProtection="1">
      <protection locked="0"/>
    </xf>
    <xf numFmtId="0" fontId="3" fillId="0" borderId="12" xfId="0" applyFont="1" applyFill="1" applyBorder="1"/>
    <xf numFmtId="0" fontId="3" fillId="0" borderId="16" xfId="0" applyFont="1" applyFill="1" applyBorder="1"/>
    <xf numFmtId="0" fontId="3" fillId="0" borderId="17" xfId="0" applyFont="1" applyFill="1" applyBorder="1" applyAlignment="1">
      <alignment vertical="top"/>
    </xf>
    <xf numFmtId="0" fontId="3" fillId="0" borderId="16" xfId="0" applyFont="1" applyFill="1" applyBorder="1" applyProtection="1">
      <protection locked="0"/>
    </xf>
    <xf numFmtId="0" fontId="3" fillId="0" borderId="71" xfId="0" applyFont="1" applyFill="1" applyBorder="1" applyAlignment="1">
      <alignment horizontal="right"/>
    </xf>
    <xf numFmtId="0" fontId="3" fillId="0" borderId="13" xfId="0" applyFont="1" applyFill="1" applyBorder="1" applyProtection="1">
      <protection locked="0"/>
    </xf>
    <xf numFmtId="0" fontId="3" fillId="0" borderId="14" xfId="0" quotePrefix="1" applyFont="1" applyFill="1" applyBorder="1" applyProtection="1">
      <protection locked="0"/>
    </xf>
    <xf numFmtId="0" fontId="12" fillId="0" borderId="72" xfId="0" applyFont="1" applyFill="1" applyBorder="1" applyAlignment="1" applyProtection="1">
      <alignment horizontal="center"/>
    </xf>
    <xf numFmtId="0" fontId="3" fillId="0" borderId="3" xfId="0" applyFont="1" applyFill="1" applyBorder="1" applyProtection="1">
      <protection locked="0"/>
    </xf>
    <xf numFmtId="0" fontId="3" fillId="0" borderId="17" xfId="0" applyFont="1" applyFill="1" applyBorder="1" applyProtection="1">
      <protection locked="0"/>
    </xf>
    <xf numFmtId="0" fontId="3" fillId="0" borderId="73" xfId="0" applyFont="1" applyFill="1" applyBorder="1" applyProtection="1">
      <protection locked="0"/>
    </xf>
    <xf numFmtId="0" fontId="12" fillId="0" borderId="74" xfId="0" applyFont="1" applyFill="1" applyBorder="1" applyAlignment="1" applyProtection="1">
      <alignment horizontal="center"/>
    </xf>
    <xf numFmtId="0" fontId="3" fillId="0" borderId="14" xfId="0" applyFont="1" applyFill="1" applyBorder="1" applyProtection="1">
      <protection locked="0"/>
    </xf>
    <xf numFmtId="0" fontId="3" fillId="0" borderId="3" xfId="0" applyNumberFormat="1" applyFont="1" applyFill="1" applyBorder="1" applyAlignment="1" applyProtection="1">
      <protection hidden="1"/>
    </xf>
    <xf numFmtId="0" fontId="3" fillId="0" borderId="2" xfId="0" applyNumberFormat="1" applyFont="1" applyFill="1" applyBorder="1" applyAlignment="1" applyProtection="1">
      <protection hidden="1"/>
    </xf>
    <xf numFmtId="0" fontId="3" fillId="0" borderId="0" xfId="0" applyFont="1" applyFill="1" applyProtection="1"/>
    <xf numFmtId="0" fontId="11" fillId="0" borderId="0" xfId="0" applyFont="1" applyFill="1" applyProtection="1">
      <protection locked="0"/>
    </xf>
    <xf numFmtId="0" fontId="3" fillId="0" borderId="1" xfId="0" applyFont="1" applyFill="1" applyBorder="1" applyProtection="1">
      <protection locked="0"/>
    </xf>
    <xf numFmtId="1" fontId="3" fillId="0" borderId="0" xfId="0" applyNumberFormat="1" applyFont="1" applyFill="1" applyProtection="1">
      <protection locked="0"/>
    </xf>
    <xf numFmtId="0" fontId="3" fillId="0" borderId="14" xfId="0" applyFont="1" applyFill="1" applyBorder="1" applyAlignment="1" applyProtection="1">
      <protection locked="0"/>
    </xf>
    <xf numFmtId="0" fontId="3" fillId="0" borderId="72" xfId="0" applyFont="1" applyFill="1" applyBorder="1" applyProtection="1">
      <protection locked="0"/>
    </xf>
    <xf numFmtId="0" fontId="3" fillId="0" borderId="77" xfId="0" applyFont="1" applyFill="1" applyBorder="1" applyProtection="1">
      <protection locked="0"/>
    </xf>
    <xf numFmtId="0" fontId="3" fillId="0" borderId="74" xfId="0" applyFont="1" applyFill="1" applyBorder="1" applyProtection="1">
      <protection locked="0"/>
    </xf>
    <xf numFmtId="0" fontId="3" fillId="0" borderId="0" xfId="0" applyFont="1" applyFill="1" applyAlignment="1" applyProtection="1">
      <alignment horizontal="right"/>
      <protection locked="0"/>
    </xf>
    <xf numFmtId="0" fontId="3" fillId="0" borderId="78" xfId="0" applyFont="1" applyFill="1" applyBorder="1" applyProtection="1">
      <protection locked="0"/>
    </xf>
    <xf numFmtId="0" fontId="3" fillId="0" borderId="79" xfId="0" applyFont="1" applyFill="1" applyBorder="1" applyProtection="1">
      <protection locked="0"/>
    </xf>
    <xf numFmtId="0" fontId="3" fillId="0" borderId="0" xfId="0" applyFont="1" applyFill="1" applyAlignment="1" applyProtection="1">
      <alignment horizontal="left"/>
      <protection locked="0"/>
    </xf>
    <xf numFmtId="0" fontId="3" fillId="0" borderId="81" xfId="0" applyFont="1" applyFill="1" applyBorder="1" applyProtection="1">
      <protection locked="0"/>
    </xf>
    <xf numFmtId="0" fontId="3" fillId="0" borderId="82" xfId="0" applyFont="1" applyFill="1" applyBorder="1" applyProtection="1">
      <protection locked="0"/>
    </xf>
    <xf numFmtId="0" fontId="3" fillId="0" borderId="83" xfId="0" applyFont="1" applyFill="1" applyBorder="1"/>
    <xf numFmtId="0" fontId="11" fillId="0" borderId="0" xfId="0" applyFont="1" applyFill="1"/>
    <xf numFmtId="0" fontId="3" fillId="0" borderId="0" xfId="0" quotePrefix="1" applyFont="1" applyFill="1" applyProtection="1">
      <protection locked="0"/>
    </xf>
    <xf numFmtId="3" fontId="3" fillId="0" borderId="0" xfId="0" applyNumberFormat="1" applyFont="1" applyFill="1" applyProtection="1">
      <protection locked="0"/>
    </xf>
    <xf numFmtId="0" fontId="3" fillId="0" borderId="12" xfId="0" applyFont="1" applyFill="1" applyBorder="1" applyAlignment="1" applyProtection="1">
      <protection locked="0"/>
    </xf>
    <xf numFmtId="3" fontId="3" fillId="0" borderId="12" xfId="0" applyNumberFormat="1" applyFont="1" applyFill="1" applyBorder="1" applyProtection="1">
      <protection locked="0"/>
    </xf>
    <xf numFmtId="0" fontId="3" fillId="0" borderId="12" xfId="0" applyFont="1" applyFill="1" applyBorder="1" applyProtection="1"/>
    <xf numFmtId="0" fontId="3" fillId="0" borderId="12" xfId="0" applyFont="1" applyFill="1" applyBorder="1" applyAlignment="1" applyProtection="1">
      <alignment horizontal="right"/>
    </xf>
    <xf numFmtId="0" fontId="3" fillId="0" borderId="0" xfId="0" applyFont="1" applyFill="1" applyAlignment="1" applyProtection="1">
      <alignment horizontal="left" indent="1"/>
      <protection locked="0"/>
    </xf>
    <xf numFmtId="0" fontId="8" fillId="0" borderId="4" xfId="0" applyFont="1" applyFill="1" applyBorder="1" applyProtection="1">
      <protection locked="0"/>
    </xf>
    <xf numFmtId="0" fontId="3" fillId="0" borderId="12" xfId="0" applyFont="1" applyFill="1" applyBorder="1" applyAlignment="1" applyProtection="1">
      <alignment horizontal="right"/>
      <protection locked="0"/>
    </xf>
    <xf numFmtId="0" fontId="8" fillId="0" borderId="7" xfId="0" applyFont="1" applyFill="1" applyBorder="1" applyProtection="1">
      <protection locked="0"/>
    </xf>
    <xf numFmtId="0" fontId="8" fillId="0" borderId="9" xfId="0" applyFont="1" applyFill="1" applyBorder="1" applyProtection="1">
      <protection locked="0"/>
    </xf>
    <xf numFmtId="0" fontId="8" fillId="0" borderId="16" xfId="0" applyFont="1" applyFill="1" applyBorder="1" applyProtection="1">
      <protection locked="0"/>
    </xf>
    <xf numFmtId="0" fontId="11" fillId="0" borderId="12" xfId="0" applyFont="1" applyFill="1" applyBorder="1" applyAlignment="1" applyProtection="1">
      <alignment horizontal="left"/>
      <protection locked="0"/>
    </xf>
    <xf numFmtId="0" fontId="11" fillId="0" borderId="17" xfId="0" applyFont="1" applyFill="1" applyBorder="1" applyAlignment="1" applyProtection="1">
      <alignment horizontal="left"/>
      <protection locked="0"/>
    </xf>
    <xf numFmtId="0" fontId="3" fillId="0" borderId="0" xfId="0" applyFont="1" applyFill="1" applyBorder="1" applyAlignment="1" applyProtection="1">
      <protection locked="0"/>
    </xf>
    <xf numFmtId="0" fontId="3" fillId="0" borderId="1" xfId="0" applyFont="1" applyFill="1" applyBorder="1" applyAlignment="1" applyProtection="1">
      <alignment horizontal="center"/>
      <protection locked="0"/>
    </xf>
    <xf numFmtId="10" fontId="3" fillId="0" borderId="12" xfId="0" applyNumberFormat="1" applyFont="1" applyFill="1" applyBorder="1" applyProtection="1">
      <protection locked="0"/>
    </xf>
    <xf numFmtId="10" fontId="3" fillId="0" borderId="6" xfId="0" applyNumberFormat="1" applyFont="1" applyFill="1" applyBorder="1" applyProtection="1">
      <protection locked="0"/>
    </xf>
    <xf numFmtId="10" fontId="3" fillId="0" borderId="8" xfId="0" applyNumberFormat="1" applyFont="1" applyFill="1" applyBorder="1" applyProtection="1">
      <protection locked="0"/>
    </xf>
    <xf numFmtId="3" fontId="3" fillId="0" borderId="13" xfId="0" applyNumberFormat="1" applyFont="1" applyFill="1" applyBorder="1" applyProtection="1">
      <protection locked="0"/>
    </xf>
    <xf numFmtId="3" fontId="3" fillId="0" borderId="14" xfId="0" applyNumberFormat="1" applyFont="1" applyFill="1" applyBorder="1" applyProtection="1">
      <protection locked="0"/>
    </xf>
    <xf numFmtId="10" fontId="3" fillId="0" borderId="4" xfId="0" applyNumberFormat="1" applyFont="1" applyFill="1" applyBorder="1" applyProtection="1">
      <protection locked="0"/>
    </xf>
    <xf numFmtId="0" fontId="3" fillId="0" borderId="6" xfId="0" applyFont="1" applyFill="1" applyBorder="1" applyProtection="1">
      <protection locked="0"/>
    </xf>
    <xf numFmtId="10" fontId="3" fillId="0" borderId="7" xfId="0" applyNumberFormat="1" applyFont="1" applyFill="1" applyBorder="1" applyProtection="1">
      <protection locked="0"/>
    </xf>
    <xf numFmtId="0" fontId="3" fillId="0" borderId="8" xfId="0" applyFont="1" applyFill="1" applyBorder="1" applyProtection="1">
      <protection locked="0"/>
    </xf>
    <xf numFmtId="10" fontId="3" fillId="0" borderId="13" xfId="0" applyNumberFormat="1" applyFont="1" applyFill="1" applyBorder="1" applyProtection="1">
      <protection locked="0"/>
    </xf>
    <xf numFmtId="0" fontId="3" fillId="0" borderId="15" xfId="0" applyFont="1" applyFill="1" applyBorder="1" applyProtection="1">
      <protection locked="0"/>
    </xf>
    <xf numFmtId="10" fontId="3" fillId="0" borderId="17" xfId="0" applyNumberFormat="1" applyFont="1" applyFill="1" applyBorder="1" applyProtection="1">
      <protection locked="0"/>
    </xf>
    <xf numFmtId="0" fontId="0" fillId="0" borderId="0" xfId="0" applyFill="1"/>
    <xf numFmtId="0" fontId="0" fillId="0" borderId="0" xfId="0" applyProtection="1">
      <protection locked="0"/>
    </xf>
    <xf numFmtId="3" fontId="0" fillId="0" borderId="0" xfId="0" applyNumberFormat="1" applyProtection="1">
      <protection locked="0"/>
    </xf>
    <xf numFmtId="0" fontId="0" fillId="0" borderId="12" xfId="0" applyBorder="1"/>
    <xf numFmtId="0" fontId="0" fillId="10" borderId="0" xfId="0" applyFill="1"/>
    <xf numFmtId="0" fontId="0" fillId="8" borderId="0" xfId="0" applyFill="1"/>
    <xf numFmtId="0" fontId="3" fillId="0" borderId="0" xfId="0" quotePrefix="1" applyFont="1" applyFill="1"/>
    <xf numFmtId="0" fontId="3" fillId="0" borderId="0" xfId="0" applyFont="1" applyFill="1" applyBorder="1" applyAlignment="1" applyProtection="1">
      <protection hidden="1"/>
    </xf>
    <xf numFmtId="0" fontId="3" fillId="10" borderId="0" xfId="0" applyFont="1" applyFill="1"/>
    <xf numFmtId="0" fontId="3" fillId="10" borderId="0" xfId="0" quotePrefix="1" applyFont="1" applyFill="1"/>
    <xf numFmtId="0" fontId="8" fillId="0" borderId="0" xfId="0" applyFont="1" applyFill="1" applyBorder="1" applyAlignment="1">
      <alignment vertical="center"/>
    </xf>
    <xf numFmtId="0" fontId="0" fillId="0" borderId="0" xfId="0" quotePrefix="1" applyFill="1"/>
    <xf numFmtId="0" fontId="0" fillId="10" borderId="0" xfId="0" quotePrefix="1" applyFill="1"/>
    <xf numFmtId="0" fontId="8" fillId="0" borderId="0" xfId="0" quotePrefix="1" applyFont="1" applyFill="1" applyBorder="1" applyProtection="1">
      <protection hidden="1"/>
    </xf>
    <xf numFmtId="0" fontId="8" fillId="0" borderId="0" xfId="0" applyFont="1" applyFill="1" applyBorder="1" applyProtection="1">
      <protection hidden="1"/>
    </xf>
    <xf numFmtId="3" fontId="8" fillId="0" borderId="0" xfId="0" applyNumberFormat="1" applyFont="1" applyFill="1" applyBorder="1" applyAlignment="1" applyProtection="1">
      <alignment horizontal="right"/>
      <protection hidden="1"/>
    </xf>
    <xf numFmtId="0" fontId="3" fillId="10" borderId="0" xfId="0" applyFont="1" applyFill="1" applyBorder="1" applyProtection="1">
      <protection hidden="1"/>
    </xf>
    <xf numFmtId="0" fontId="3" fillId="0" borderId="0" xfId="0" applyFont="1" applyFill="1" applyBorder="1"/>
    <xf numFmtId="0" fontId="8" fillId="0" borderId="0" xfId="0" applyFont="1" applyFill="1"/>
    <xf numFmtId="0" fontId="0" fillId="12" borderId="0" xfId="0" applyFill="1"/>
    <xf numFmtId="0" fontId="3" fillId="0" borderId="5" xfId="0" applyFont="1" applyFill="1" applyBorder="1" applyProtection="1">
      <protection locked="0"/>
    </xf>
    <xf numFmtId="3" fontId="3" fillId="0" borderId="9" xfId="0" applyNumberFormat="1" applyFont="1" applyFill="1" applyBorder="1" applyProtection="1">
      <protection locked="0"/>
    </xf>
    <xf numFmtId="0" fontId="4" fillId="0" borderId="14" xfId="0" applyFont="1" applyFill="1" applyBorder="1" applyProtection="1">
      <protection locked="0"/>
    </xf>
    <xf numFmtId="0" fontId="4" fillId="0" borderId="0" xfId="0" applyFont="1" applyFill="1" applyProtection="1">
      <protection locked="0"/>
    </xf>
    <xf numFmtId="3" fontId="4" fillId="0" borderId="12" xfId="0" applyNumberFormat="1" applyFont="1" applyFill="1" applyBorder="1" applyProtection="1">
      <protection locked="0"/>
    </xf>
    <xf numFmtId="0" fontId="4" fillId="0" borderId="74" xfId="0" applyFont="1" applyFill="1" applyBorder="1" applyAlignment="1" applyProtection="1">
      <alignment horizontal="center"/>
      <protection locked="0"/>
    </xf>
    <xf numFmtId="0" fontId="4" fillId="0" borderId="75" xfId="0" quotePrefix="1" applyFont="1" applyFill="1" applyBorder="1" applyAlignment="1" applyProtection="1">
      <alignment horizontal="center"/>
      <protection locked="0"/>
    </xf>
    <xf numFmtId="0" fontId="4" fillId="0" borderId="76" xfId="0" applyFont="1" applyFill="1" applyBorder="1" applyProtection="1">
      <protection locked="0"/>
    </xf>
    <xf numFmtId="0" fontId="3" fillId="0" borderId="80" xfId="0" applyFont="1" applyFill="1" applyBorder="1" applyProtection="1">
      <protection locked="0"/>
    </xf>
    <xf numFmtId="0" fontId="4" fillId="0" borderId="12" xfId="0" applyFont="1" applyFill="1" applyBorder="1" applyAlignment="1" applyProtection="1">
      <alignment horizontal="center"/>
      <protection locked="0"/>
    </xf>
    <xf numFmtId="0" fontId="8" fillId="0" borderId="12" xfId="0" applyFont="1" applyFill="1" applyBorder="1" applyProtection="1">
      <protection locked="0"/>
    </xf>
    <xf numFmtId="0" fontId="14" fillId="0" borderId="9" xfId="0" applyFont="1" applyFill="1" applyBorder="1" applyAlignment="1"/>
    <xf numFmtId="0" fontId="14" fillId="0" borderId="16" xfId="0" applyFont="1" applyFill="1" applyBorder="1" applyAlignment="1"/>
    <xf numFmtId="0" fontId="14" fillId="0" borderId="17" xfId="0" applyFont="1" applyFill="1" applyBorder="1" applyAlignment="1"/>
    <xf numFmtId="0" fontId="2" fillId="13" borderId="12" xfId="0" applyFont="1" applyFill="1" applyBorder="1" applyProtection="1">
      <protection hidden="1"/>
    </xf>
    <xf numFmtId="0" fontId="3" fillId="15" borderId="0" xfId="0" applyFont="1" applyFill="1"/>
    <xf numFmtId="10" fontId="3" fillId="0" borderId="0" xfId="0" applyNumberFormat="1" applyFont="1" applyFill="1" applyProtection="1">
      <protection locked="0"/>
    </xf>
    <xf numFmtId="0" fontId="3" fillId="17" borderId="0" xfId="0" applyFont="1" applyFill="1" applyAlignment="1" applyProtection="1">
      <alignment horizontal="center"/>
      <protection locked="0"/>
    </xf>
    <xf numFmtId="0" fontId="3" fillId="17" borderId="0" xfId="0" applyFont="1" applyFill="1" applyProtection="1">
      <protection locked="0"/>
    </xf>
    <xf numFmtId="0" fontId="0" fillId="17" borderId="0" xfId="0" applyFill="1"/>
    <xf numFmtId="0" fontId="3" fillId="17" borderId="1" xfId="0" applyFont="1" applyFill="1" applyBorder="1" applyProtection="1">
      <protection locked="0"/>
    </xf>
    <xf numFmtId="0" fontId="0" fillId="17" borderId="9" xfId="0" applyFill="1" applyBorder="1"/>
    <xf numFmtId="0" fontId="3" fillId="17" borderId="0" xfId="0" applyFont="1" applyFill="1" applyBorder="1" applyProtection="1">
      <protection locked="0"/>
    </xf>
    <xf numFmtId="0" fontId="0" fillId="17" borderId="16" xfId="0" applyFill="1" applyBorder="1"/>
    <xf numFmtId="0" fontId="0" fillId="17" borderId="17" xfId="0" applyFill="1" applyBorder="1"/>
    <xf numFmtId="0" fontId="3" fillId="17" borderId="9" xfId="0" applyFont="1" applyFill="1" applyBorder="1" applyAlignment="1" applyProtection="1">
      <alignment horizontal="left"/>
      <protection locked="0"/>
    </xf>
    <xf numFmtId="0" fontId="3" fillId="17" borderId="16" xfId="0" applyFont="1" applyFill="1" applyBorder="1" applyProtection="1">
      <protection locked="0"/>
    </xf>
    <xf numFmtId="0" fontId="3" fillId="17" borderId="17" xfId="0" applyFont="1" applyFill="1" applyBorder="1" applyProtection="1">
      <protection locked="0"/>
    </xf>
    <xf numFmtId="0" fontId="3" fillId="17" borderId="9" xfId="0" applyFont="1" applyFill="1" applyBorder="1" applyProtection="1">
      <protection locked="0"/>
    </xf>
    <xf numFmtId="0" fontId="17" fillId="0" borderId="0" xfId="0" applyFont="1" applyFill="1"/>
    <xf numFmtId="0" fontId="17" fillId="0" borderId="0" xfId="0" applyFont="1"/>
    <xf numFmtId="0" fontId="17" fillId="0" borderId="0" xfId="0" applyFont="1" applyProtection="1">
      <protection locked="0"/>
    </xf>
    <xf numFmtId="0" fontId="0" fillId="17" borderId="12" xfId="0" applyFill="1" applyBorder="1" applyProtection="1">
      <protection locked="0"/>
    </xf>
    <xf numFmtId="0" fontId="3" fillId="21" borderId="0" xfId="0" applyFont="1" applyFill="1" applyProtection="1">
      <protection locked="0"/>
    </xf>
    <xf numFmtId="0" fontId="3" fillId="21" borderId="1" xfId="0" applyFont="1" applyFill="1" applyBorder="1" applyProtection="1">
      <protection locked="0"/>
    </xf>
    <xf numFmtId="0" fontId="3" fillId="21" borderId="9" xfId="0" applyFont="1" applyFill="1" applyBorder="1" applyProtection="1">
      <protection locked="0"/>
    </xf>
    <xf numFmtId="0" fontId="3" fillId="21" borderId="16" xfId="0" applyFont="1" applyFill="1" applyBorder="1" applyProtection="1">
      <protection locked="0"/>
    </xf>
    <xf numFmtId="0" fontId="3" fillId="21" borderId="17" xfId="0" applyFont="1" applyFill="1" applyBorder="1" applyProtection="1">
      <protection locked="0"/>
    </xf>
    <xf numFmtId="0" fontId="0" fillId="21" borderId="0" xfId="0" applyFill="1"/>
    <xf numFmtId="0" fontId="3" fillId="12" borderId="0" xfId="0" quotePrefix="1" applyFont="1" applyFill="1" applyBorder="1" applyProtection="1">
      <protection locked="0"/>
    </xf>
    <xf numFmtId="0" fontId="3" fillId="17" borderId="12" xfId="0" applyFont="1" applyFill="1" applyBorder="1" applyProtection="1">
      <protection locked="0"/>
    </xf>
    <xf numFmtId="0" fontId="3" fillId="12" borderId="0" xfId="0" quotePrefix="1" applyFont="1" applyFill="1" applyProtection="1">
      <protection locked="0"/>
    </xf>
    <xf numFmtId="0" fontId="0" fillId="22" borderId="0" xfId="0" applyFill="1"/>
    <xf numFmtId="0" fontId="18" fillId="22" borderId="0" xfId="0" applyFont="1" applyFill="1" applyProtection="1">
      <protection locked="0"/>
    </xf>
    <xf numFmtId="0" fontId="8" fillId="0" borderId="0" xfId="0" applyFont="1" applyFill="1" applyAlignment="1" applyProtection="1">
      <protection locked="0"/>
    </xf>
    <xf numFmtId="0" fontId="11" fillId="0" borderId="0" xfId="0" applyFont="1" applyFill="1" applyAlignment="1"/>
    <xf numFmtId="0" fontId="3" fillId="0" borderId="0" xfId="0" applyFont="1" applyFill="1" applyAlignment="1"/>
    <xf numFmtId="0" fontId="3" fillId="0" borderId="1" xfId="0" applyFont="1" applyFill="1" applyBorder="1" applyAlignment="1" applyProtection="1">
      <protection locked="0"/>
    </xf>
    <xf numFmtId="0" fontId="15" fillId="22" borderId="0" xfId="0" applyFont="1" applyFill="1" applyProtection="1">
      <protection locked="0"/>
    </xf>
    <xf numFmtId="0" fontId="3" fillId="22" borderId="1" xfId="0" applyFont="1" applyFill="1" applyBorder="1" applyProtection="1">
      <protection locked="0"/>
    </xf>
    <xf numFmtId="0" fontId="18" fillId="22" borderId="12" xfId="0" applyFont="1" applyFill="1" applyBorder="1" applyProtection="1">
      <protection locked="0"/>
    </xf>
    <xf numFmtId="164" fontId="0" fillId="2" borderId="0" xfId="0" applyNumberFormat="1" applyFill="1"/>
    <xf numFmtId="0" fontId="3" fillId="22" borderId="9" xfId="0" applyFont="1" applyFill="1" applyBorder="1" applyProtection="1">
      <protection locked="0"/>
    </xf>
    <xf numFmtId="0" fontId="3" fillId="22" borderId="12" xfId="0" applyFont="1" applyFill="1" applyBorder="1" applyProtection="1">
      <protection locked="0"/>
    </xf>
    <xf numFmtId="0" fontId="3" fillId="22" borderId="16" xfId="0" applyFont="1" applyFill="1" applyBorder="1" applyProtection="1">
      <protection locked="0"/>
    </xf>
    <xf numFmtId="0" fontId="3" fillId="22" borderId="17" xfId="0" applyFont="1" applyFill="1" applyBorder="1" applyProtection="1">
      <protection locked="0"/>
    </xf>
    <xf numFmtId="0" fontId="18" fillId="22" borderId="3" xfId="0" applyFont="1" applyFill="1" applyBorder="1" applyProtection="1">
      <protection locked="0"/>
    </xf>
    <xf numFmtId="0" fontId="3" fillId="0" borderId="87" xfId="0" applyFont="1" applyFill="1" applyBorder="1" applyProtection="1">
      <protection locked="0"/>
    </xf>
    <xf numFmtId="0" fontId="18" fillId="22" borderId="74" xfId="0" applyFont="1" applyFill="1" applyBorder="1" applyProtection="1">
      <protection locked="0"/>
    </xf>
    <xf numFmtId="0" fontId="18" fillId="22" borderId="80" xfId="0" applyFont="1" applyFill="1" applyBorder="1" applyProtection="1">
      <protection locked="0"/>
    </xf>
    <xf numFmtId="0" fontId="18" fillId="22" borderId="84" xfId="0" applyFont="1" applyFill="1" applyBorder="1" applyProtection="1">
      <protection locked="0"/>
    </xf>
    <xf numFmtId="0" fontId="18" fillId="22" borderId="17" xfId="0" applyFont="1" applyFill="1" applyBorder="1" applyProtection="1">
      <protection locked="0"/>
    </xf>
    <xf numFmtId="0" fontId="18" fillId="22" borderId="16" xfId="0" applyFont="1" applyFill="1" applyBorder="1" applyProtection="1">
      <protection locked="0"/>
    </xf>
    <xf numFmtId="0" fontId="18" fillId="22" borderId="12" xfId="0" applyFont="1" applyFill="1" applyBorder="1" applyAlignment="1" applyProtection="1">
      <alignment horizontal="center"/>
      <protection locked="0"/>
    </xf>
    <xf numFmtId="0" fontId="18" fillId="22" borderId="14" xfId="0" applyFont="1" applyFill="1" applyBorder="1" applyAlignment="1" applyProtection="1">
      <alignment horizontal="center"/>
      <protection locked="0"/>
    </xf>
    <xf numFmtId="0" fontId="3" fillId="15" borderId="0" xfId="0" applyFont="1" applyFill="1" applyProtection="1">
      <protection locked="0"/>
    </xf>
    <xf numFmtId="0" fontId="18" fillId="22" borderId="3" xfId="0" applyFont="1" applyFill="1" applyBorder="1" applyAlignment="1" applyProtection="1">
      <alignment horizontal="center"/>
      <protection locked="0"/>
    </xf>
    <xf numFmtId="0" fontId="18" fillId="22" borderId="1" xfId="0" applyFont="1" applyFill="1" applyBorder="1" applyAlignment="1" applyProtection="1">
      <alignment horizontal="center"/>
      <protection locked="0"/>
    </xf>
    <xf numFmtId="0" fontId="18" fillId="22" borderId="2" xfId="0" applyFont="1" applyFill="1" applyBorder="1" applyAlignment="1" applyProtection="1">
      <alignment horizontal="center"/>
      <protection locked="0"/>
    </xf>
    <xf numFmtId="0" fontId="18" fillId="22" borderId="9" xfId="0" applyFont="1" applyFill="1" applyBorder="1" applyProtection="1">
      <protection locked="0"/>
    </xf>
    <xf numFmtId="0" fontId="8" fillId="22" borderId="16" xfId="0" applyFont="1" applyFill="1" applyBorder="1" applyProtection="1">
      <protection locked="0"/>
    </xf>
    <xf numFmtId="0" fontId="8" fillId="22" borderId="13" xfId="0" applyFont="1" applyFill="1" applyBorder="1" applyProtection="1">
      <protection locked="0"/>
    </xf>
    <xf numFmtId="0" fontId="8" fillId="22" borderId="17" xfId="0" applyFont="1" applyFill="1" applyBorder="1" applyProtection="1">
      <protection locked="0"/>
    </xf>
    <xf numFmtId="0" fontId="19" fillId="22" borderId="0" xfId="0" applyFont="1" applyFill="1" applyAlignment="1" applyProtection="1">
      <alignment horizontal="right"/>
      <protection locked="0"/>
    </xf>
    <xf numFmtId="0" fontId="18" fillId="22" borderId="86" xfId="0" applyFont="1" applyFill="1" applyBorder="1" applyProtection="1">
      <protection locked="0"/>
    </xf>
    <xf numFmtId="0" fontId="13" fillId="22" borderId="86" xfId="0" applyFont="1" applyFill="1" applyBorder="1"/>
    <xf numFmtId="0" fontId="13" fillId="22" borderId="16" xfId="0" applyFont="1" applyFill="1" applyBorder="1"/>
    <xf numFmtId="0" fontId="3" fillId="22" borderId="0" xfId="0" applyFont="1" applyFill="1"/>
    <xf numFmtId="0" fontId="3" fillId="15" borderId="1" xfId="0" applyFont="1" applyFill="1" applyBorder="1" applyProtection="1">
      <protection locked="0"/>
    </xf>
    <xf numFmtId="0" fontId="16" fillId="18" borderId="0" xfId="0" applyFont="1" applyFill="1" applyProtection="1">
      <protection hidden="1"/>
    </xf>
    <xf numFmtId="0" fontId="3" fillId="18" borderId="0" xfId="0" applyFont="1" applyFill="1" applyBorder="1" applyAlignment="1" applyProtection="1">
      <alignment vertical="center"/>
      <protection hidden="1"/>
    </xf>
    <xf numFmtId="0" fontId="6" fillId="18" borderId="0" xfId="0" applyNumberFormat="1" applyFont="1" applyFill="1" applyBorder="1" applyAlignment="1" applyProtection="1">
      <alignment vertical="center"/>
      <protection hidden="1"/>
    </xf>
    <xf numFmtId="0" fontId="0" fillId="18" borderId="0" xfId="0" applyFill="1" applyProtection="1">
      <protection hidden="1"/>
    </xf>
    <xf numFmtId="164" fontId="2" fillId="18" borderId="0" xfId="0" applyNumberFormat="1" applyFont="1" applyFill="1" applyBorder="1" applyAlignment="1" applyProtection="1">
      <alignment horizontal="left" vertical="center"/>
      <protection hidden="1"/>
    </xf>
    <xf numFmtId="164" fontId="2" fillId="18" borderId="0" xfId="0" applyNumberFormat="1" applyFont="1" applyFill="1" applyProtection="1">
      <protection hidden="1"/>
    </xf>
    <xf numFmtId="0" fontId="5" fillId="18" borderId="0" xfId="0" applyFont="1" applyFill="1" applyProtection="1">
      <protection hidden="1"/>
    </xf>
    <xf numFmtId="164" fontId="2" fillId="18" borderId="0" xfId="0" applyNumberFormat="1" applyFont="1" applyFill="1" applyBorder="1" applyAlignment="1" applyProtection="1">
      <alignment vertical="center"/>
      <protection hidden="1"/>
    </xf>
    <xf numFmtId="10" fontId="3" fillId="18" borderId="0" xfId="0" applyNumberFormat="1" applyFont="1" applyFill="1" applyBorder="1" applyAlignment="1" applyProtection="1">
      <alignment vertical="top"/>
      <protection hidden="1"/>
    </xf>
    <xf numFmtId="0" fontId="10" fillId="18" borderId="0" xfId="0" applyNumberFormat="1" applyFont="1" applyFill="1" applyBorder="1" applyAlignment="1" applyProtection="1">
      <alignment horizontal="justify" vertical="center"/>
      <protection hidden="1"/>
    </xf>
    <xf numFmtId="0" fontId="7" fillId="18" borderId="0" xfId="0" applyNumberFormat="1" applyFont="1" applyFill="1" applyBorder="1" applyAlignment="1" applyProtection="1">
      <alignment horizontal="justify" vertical="center"/>
      <protection hidden="1"/>
    </xf>
    <xf numFmtId="0" fontId="1" fillId="18" borderId="0" xfId="0" applyNumberFormat="1" applyFont="1" applyFill="1" applyBorder="1" applyAlignment="1" applyProtection="1">
      <alignment horizontal="center" vertical="center"/>
      <protection hidden="1"/>
    </xf>
    <xf numFmtId="0" fontId="1" fillId="18" borderId="0" xfId="0" applyFont="1" applyFill="1" applyProtection="1">
      <protection hidden="1"/>
    </xf>
    <xf numFmtId="0" fontId="0" fillId="18" borderId="0" xfId="0" applyFill="1"/>
    <xf numFmtId="0" fontId="3" fillId="22" borderId="69" xfId="0" applyFont="1" applyFill="1" applyBorder="1" applyAlignment="1">
      <alignment horizontal="right"/>
    </xf>
    <xf numFmtId="49" fontId="3" fillId="22" borderId="70" xfId="0" applyNumberFormat="1" applyFont="1" applyFill="1" applyBorder="1" applyAlignment="1">
      <alignment horizontal="right"/>
    </xf>
    <xf numFmtId="0" fontId="0" fillId="0" borderId="12" xfId="0" applyFill="1" applyBorder="1"/>
    <xf numFmtId="0" fontId="0" fillId="24" borderId="0" xfId="0" applyFill="1"/>
    <xf numFmtId="164" fontId="1" fillId="24" borderId="0" xfId="0" applyNumberFormat="1" applyFont="1" applyFill="1" applyProtection="1">
      <protection hidden="1"/>
    </xf>
    <xf numFmtId="0" fontId="0" fillId="24" borderId="0" xfId="0" applyFill="1" applyProtection="1">
      <protection hidden="1"/>
    </xf>
    <xf numFmtId="164" fontId="7" fillId="24" borderId="0" xfId="0" applyNumberFormat="1" applyFont="1" applyFill="1" applyProtection="1">
      <protection hidden="1"/>
    </xf>
    <xf numFmtId="164" fontId="9" fillId="24" borderId="0" xfId="0" applyNumberFormat="1" applyFont="1" applyFill="1" applyAlignment="1" applyProtection="1">
      <alignment wrapText="1"/>
      <protection hidden="1"/>
    </xf>
    <xf numFmtId="164" fontId="0" fillId="24" borderId="0" xfId="0" applyNumberFormat="1" applyFill="1"/>
    <xf numFmtId="0" fontId="18" fillId="22" borderId="0" xfId="0" applyFont="1" applyFill="1" applyBorder="1" applyProtection="1">
      <protection locked="0"/>
    </xf>
    <xf numFmtId="0" fontId="0" fillId="15" borderId="0" xfId="0" applyFill="1"/>
    <xf numFmtId="0" fontId="0" fillId="22" borderId="12" xfId="0" applyFill="1" applyBorder="1"/>
    <xf numFmtId="0" fontId="3" fillId="20" borderId="12" xfId="0" applyFont="1" applyFill="1" applyBorder="1" applyProtection="1">
      <protection locked="0"/>
    </xf>
    <xf numFmtId="0" fontId="11" fillId="20" borderId="0" xfId="0" applyFont="1" applyFill="1" applyBorder="1" applyProtection="1">
      <protection locked="0"/>
    </xf>
    <xf numFmtId="0" fontId="13" fillId="22" borderId="0" xfId="0" applyFont="1" applyFill="1"/>
    <xf numFmtId="164" fontId="20" fillId="24" borderId="0" xfId="0" applyNumberFormat="1" applyFont="1" applyFill="1" applyProtection="1">
      <protection hidden="1"/>
    </xf>
    <xf numFmtId="0" fontId="25" fillId="18" borderId="4" xfId="0" applyFont="1" applyFill="1" applyBorder="1" applyAlignment="1" applyProtection="1">
      <alignment vertical="center"/>
      <protection hidden="1"/>
    </xf>
    <xf numFmtId="0" fontId="25" fillId="18" borderId="5" xfId="0" applyFont="1" applyFill="1" applyBorder="1" applyAlignment="1" applyProtection="1">
      <alignment vertical="center"/>
      <protection hidden="1"/>
    </xf>
    <xf numFmtId="0" fontId="25" fillId="18" borderId="0" xfId="0" applyFont="1" applyFill="1" applyBorder="1" applyAlignment="1" applyProtection="1">
      <alignment vertical="center"/>
      <protection hidden="1"/>
    </xf>
    <xf numFmtId="0" fontId="0" fillId="18" borderId="0" xfId="0" applyFont="1" applyFill="1" applyBorder="1" applyAlignment="1" applyProtection="1">
      <alignment vertical="center"/>
      <protection hidden="1"/>
    </xf>
    <xf numFmtId="0" fontId="0" fillId="18" borderId="0" xfId="0" applyFont="1" applyFill="1" applyBorder="1" applyAlignment="1" applyProtection="1">
      <alignment horizontal="right" vertical="center"/>
      <protection hidden="1"/>
    </xf>
    <xf numFmtId="0" fontId="25" fillId="18" borderId="0" xfId="0" applyFont="1" applyFill="1" applyProtection="1">
      <protection hidden="1"/>
    </xf>
    <xf numFmtId="0" fontId="0" fillId="18" borderId="0" xfId="0" applyFont="1" applyFill="1" applyProtection="1">
      <protection hidden="1"/>
    </xf>
    <xf numFmtId="0" fontId="25" fillId="18" borderId="7" xfId="0" applyFont="1" applyFill="1" applyBorder="1" applyAlignment="1" applyProtection="1">
      <alignment vertical="center"/>
      <protection hidden="1"/>
    </xf>
    <xf numFmtId="0" fontId="0" fillId="18" borderId="0" xfId="0" applyFont="1" applyFill="1" applyAlignment="1" applyProtection="1">
      <alignment vertical="center"/>
      <protection hidden="1"/>
    </xf>
    <xf numFmtId="0" fontId="31" fillId="18" borderId="0" xfId="0" applyFont="1" applyFill="1" applyProtection="1">
      <protection hidden="1"/>
    </xf>
    <xf numFmtId="0" fontId="25" fillId="18" borderId="0" xfId="0" applyFont="1" applyFill="1" applyBorder="1" applyAlignment="1" applyProtection="1">
      <alignment horizontal="left" vertical="center"/>
      <protection hidden="1"/>
    </xf>
    <xf numFmtId="0" fontId="25" fillId="18" borderId="14" xfId="0" applyFont="1" applyFill="1" applyBorder="1" applyAlignment="1" applyProtection="1">
      <alignment vertical="center"/>
      <protection hidden="1"/>
    </xf>
    <xf numFmtId="0" fontId="0" fillId="18" borderId="0" xfId="0" applyFont="1" applyFill="1" applyBorder="1" applyProtection="1">
      <protection hidden="1"/>
    </xf>
    <xf numFmtId="0" fontId="0" fillId="18" borderId="0" xfId="0" applyFont="1" applyFill="1"/>
    <xf numFmtId="0" fontId="34" fillId="13" borderId="1" xfId="0" applyFont="1" applyFill="1" applyBorder="1" applyAlignment="1" applyProtection="1">
      <alignment horizontal="centerContinuous" vertical="center"/>
      <protection hidden="1"/>
    </xf>
    <xf numFmtId="0" fontId="35" fillId="13" borderId="2" xfId="0" applyFont="1" applyFill="1" applyBorder="1" applyAlignment="1" applyProtection="1">
      <alignment horizontal="centerContinuous" vertical="center"/>
      <protection hidden="1"/>
    </xf>
    <xf numFmtId="0" fontId="35" fillId="13" borderId="3" xfId="0" applyFont="1" applyFill="1" applyBorder="1" applyAlignment="1" applyProtection="1">
      <alignment horizontal="centerContinuous" vertical="center"/>
      <protection hidden="1"/>
    </xf>
    <xf numFmtId="0" fontId="14" fillId="18" borderId="4" xfId="0" applyFont="1" applyFill="1" applyBorder="1" applyAlignment="1" applyProtection="1">
      <alignment vertical="center"/>
      <protection hidden="1"/>
    </xf>
    <xf numFmtId="0" fontId="14" fillId="18" borderId="5" xfId="0" applyFont="1" applyFill="1" applyBorder="1" applyAlignment="1" applyProtection="1">
      <alignment vertical="center"/>
      <protection hidden="1"/>
    </xf>
    <xf numFmtId="0" fontId="14" fillId="18" borderId="6" xfId="0" applyFont="1" applyFill="1" applyBorder="1" applyAlignment="1" applyProtection="1">
      <alignment vertical="center"/>
      <protection hidden="1"/>
    </xf>
    <xf numFmtId="0" fontId="14" fillId="18" borderId="7" xfId="0" applyFont="1" applyFill="1" applyBorder="1" applyAlignment="1" applyProtection="1">
      <alignment horizontal="left" vertical="center"/>
      <protection hidden="1"/>
    </xf>
    <xf numFmtId="0" fontId="14" fillId="18" borderId="0" xfId="0" applyFont="1" applyFill="1" applyBorder="1" applyAlignment="1" applyProtection="1">
      <alignment vertical="center"/>
      <protection hidden="1"/>
    </xf>
    <xf numFmtId="0" fontId="35" fillId="18" borderId="0" xfId="0" applyNumberFormat="1" applyFont="1" applyFill="1" applyBorder="1" applyAlignment="1" applyProtection="1">
      <alignment horizontal="justify" vertical="center"/>
      <protection hidden="1"/>
    </xf>
    <xf numFmtId="0" fontId="35" fillId="18" borderId="8" xfId="0" applyNumberFormat="1" applyFont="1" applyFill="1" applyBorder="1" applyAlignment="1" applyProtection="1">
      <alignment horizontal="justify" vertical="center"/>
      <protection hidden="1"/>
    </xf>
    <xf numFmtId="49" fontId="36" fillId="23" borderId="9" xfId="0" applyNumberFormat="1" applyFont="1" applyFill="1" applyBorder="1" applyAlignment="1" applyProtection="1">
      <alignment horizontal="center" vertical="center" shrinkToFit="1"/>
      <protection locked="0"/>
    </xf>
    <xf numFmtId="0" fontId="0" fillId="18" borderId="0" xfId="0" quotePrefix="1" applyFont="1" applyFill="1" applyBorder="1" applyAlignment="1" applyProtection="1">
      <alignment vertical="center"/>
      <protection hidden="1"/>
    </xf>
    <xf numFmtId="0" fontId="14" fillId="18" borderId="0" xfId="0" applyFont="1" applyFill="1" applyProtection="1">
      <protection hidden="1"/>
    </xf>
    <xf numFmtId="0" fontId="37" fillId="3" borderId="10" xfId="0" applyNumberFormat="1" applyFont="1" applyFill="1" applyBorder="1" applyAlignment="1" applyProtection="1">
      <alignment horizontal="center" vertical="center"/>
      <protection hidden="1"/>
    </xf>
    <xf numFmtId="0" fontId="35" fillId="18" borderId="0" xfId="0" applyNumberFormat="1" applyFont="1" applyFill="1" applyBorder="1" applyAlignment="1" applyProtection="1">
      <alignment horizontal="left" vertical="center"/>
      <protection hidden="1"/>
    </xf>
    <xf numFmtId="165" fontId="35" fillId="18" borderId="0" xfId="0" applyNumberFormat="1" applyFont="1" applyFill="1" applyBorder="1" applyAlignment="1" applyProtection="1">
      <alignment horizontal="center" vertical="center"/>
      <protection hidden="1"/>
    </xf>
    <xf numFmtId="0" fontId="37" fillId="18" borderId="0" xfId="0" applyNumberFormat="1" applyFont="1" applyFill="1" applyBorder="1" applyAlignment="1" applyProtection="1">
      <alignment vertical="center"/>
      <protection hidden="1"/>
    </xf>
    <xf numFmtId="0" fontId="37" fillId="18" borderId="0" xfId="0" applyNumberFormat="1" applyFont="1" applyFill="1" applyBorder="1" applyAlignment="1" applyProtection="1">
      <alignment horizontal="left" vertical="center"/>
      <protection hidden="1"/>
    </xf>
    <xf numFmtId="0" fontId="38" fillId="18" borderId="0" xfId="0" applyNumberFormat="1" applyFont="1" applyFill="1" applyBorder="1" applyAlignment="1" applyProtection="1">
      <alignment horizontal="justify" vertical="center"/>
      <protection hidden="1"/>
    </xf>
    <xf numFmtId="0" fontId="38" fillId="18" borderId="8" xfId="0" applyNumberFormat="1" applyFont="1" applyFill="1" applyBorder="1" applyAlignment="1" applyProtection="1">
      <alignment horizontal="justify" vertical="center"/>
      <protection hidden="1"/>
    </xf>
    <xf numFmtId="0" fontId="0" fillId="18" borderId="7" xfId="0" applyFont="1" applyFill="1" applyBorder="1" applyAlignment="1" applyProtection="1">
      <alignment vertical="center"/>
      <protection hidden="1"/>
    </xf>
    <xf numFmtId="0" fontId="14" fillId="18" borderId="0" xfId="0" applyNumberFormat="1" applyFont="1" applyFill="1" applyAlignment="1" applyProtection="1">
      <alignment vertical="center"/>
      <protection hidden="1"/>
    </xf>
    <xf numFmtId="0" fontId="14" fillId="18" borderId="7" xfId="0" applyFont="1" applyFill="1" applyBorder="1" applyAlignment="1" applyProtection="1">
      <alignment vertical="center"/>
      <protection hidden="1"/>
    </xf>
    <xf numFmtId="3" fontId="36" fillId="23" borderId="12" xfId="0" applyNumberFormat="1" applyFont="1" applyFill="1" applyBorder="1" applyAlignment="1" applyProtection="1">
      <alignment horizontal="center" vertical="center"/>
      <protection locked="0"/>
    </xf>
    <xf numFmtId="0" fontId="36" fillId="23" borderId="12" xfId="0" applyNumberFormat="1" applyFont="1" applyFill="1" applyBorder="1" applyAlignment="1" applyProtection="1">
      <alignment horizontal="center" vertical="center"/>
      <protection locked="0"/>
    </xf>
    <xf numFmtId="0" fontId="37" fillId="18" borderId="0" xfId="0" applyNumberFormat="1" applyFont="1" applyFill="1" applyBorder="1" applyAlignment="1" applyProtection="1">
      <alignment horizontal="right" vertical="center"/>
      <protection hidden="1"/>
    </xf>
    <xf numFmtId="0" fontId="37" fillId="18" borderId="8" xfId="0" applyNumberFormat="1" applyFont="1" applyFill="1" applyBorder="1" applyAlignment="1" applyProtection="1">
      <alignment vertical="center"/>
      <protection hidden="1"/>
    </xf>
    <xf numFmtId="2" fontId="36" fillId="23" borderId="12" xfId="0" applyNumberFormat="1" applyFont="1" applyFill="1" applyBorder="1" applyAlignment="1" applyProtection="1">
      <alignment horizontal="center" vertical="center"/>
      <protection locked="0"/>
    </xf>
    <xf numFmtId="0" fontId="14" fillId="18" borderId="0" xfId="0" applyFont="1" applyFill="1" applyAlignment="1" applyProtection="1">
      <alignment vertical="center"/>
      <protection hidden="1"/>
    </xf>
    <xf numFmtId="10" fontId="37" fillId="3" borderId="10" xfId="0" applyNumberFormat="1" applyFont="1" applyFill="1" applyBorder="1" applyAlignment="1" applyProtection="1">
      <alignment horizontal="center" vertical="center"/>
      <protection hidden="1"/>
    </xf>
    <xf numFmtId="10" fontId="14" fillId="18" borderId="10" xfId="0" applyNumberFormat="1" applyFont="1" applyFill="1" applyBorder="1" applyAlignment="1" applyProtection="1">
      <alignment horizontal="center" vertical="center"/>
      <protection hidden="1"/>
    </xf>
    <xf numFmtId="0" fontId="37" fillId="18" borderId="0" xfId="0" quotePrefix="1" applyNumberFormat="1" applyFont="1" applyFill="1" applyBorder="1" applyAlignment="1" applyProtection="1">
      <alignment vertical="center"/>
      <protection hidden="1"/>
    </xf>
    <xf numFmtId="164" fontId="35" fillId="3" borderId="0" xfId="0" applyNumberFormat="1" applyFont="1" applyFill="1" applyBorder="1" applyAlignment="1" applyProtection="1">
      <alignment horizontal="center" vertical="center"/>
      <protection hidden="1"/>
    </xf>
    <xf numFmtId="166" fontId="37" fillId="18" borderId="0" xfId="0" applyNumberFormat="1" applyFont="1" applyFill="1" applyBorder="1" applyAlignment="1" applyProtection="1">
      <alignment horizontal="right" vertical="center"/>
      <protection hidden="1"/>
    </xf>
    <xf numFmtId="166" fontId="37" fillId="18" borderId="0" xfId="0" applyNumberFormat="1" applyFont="1" applyFill="1" applyBorder="1" applyAlignment="1" applyProtection="1">
      <alignment horizontal="center" vertical="center"/>
      <protection hidden="1"/>
    </xf>
    <xf numFmtId="164" fontId="35" fillId="18" borderId="0" xfId="0" applyNumberFormat="1" applyFont="1" applyFill="1" applyBorder="1" applyAlignment="1" applyProtection="1">
      <alignment horizontal="center" vertical="center"/>
      <protection hidden="1"/>
    </xf>
    <xf numFmtId="0" fontId="14" fillId="18" borderId="0" xfId="0" applyFont="1" applyFill="1" applyBorder="1" applyAlignment="1" applyProtection="1">
      <alignment horizontal="left" vertical="center"/>
      <protection hidden="1"/>
    </xf>
    <xf numFmtId="0" fontId="36" fillId="23" borderId="1" xfId="0" applyNumberFormat="1" applyFont="1" applyFill="1" applyBorder="1" applyAlignment="1" applyProtection="1">
      <alignment horizontal="center" vertical="center"/>
      <protection locked="0"/>
    </xf>
    <xf numFmtId="164" fontId="35" fillId="18" borderId="13" xfId="0" applyNumberFormat="1" applyFont="1" applyFill="1" applyBorder="1" applyAlignment="1" applyProtection="1">
      <alignment vertical="center"/>
      <protection hidden="1"/>
    </xf>
    <xf numFmtId="0" fontId="14" fillId="18" borderId="14" xfId="0" applyFont="1" applyFill="1" applyBorder="1" applyAlignment="1" applyProtection="1">
      <alignment vertical="center"/>
      <protection hidden="1"/>
    </xf>
    <xf numFmtId="0" fontId="35" fillId="18" borderId="14" xfId="0" applyNumberFormat="1" applyFont="1" applyFill="1" applyBorder="1" applyAlignment="1" applyProtection="1">
      <alignment vertical="center"/>
      <protection hidden="1"/>
    </xf>
    <xf numFmtId="0" fontId="37" fillId="18" borderId="15" xfId="0" applyNumberFormat="1" applyFont="1" applyFill="1" applyBorder="1" applyAlignment="1" applyProtection="1">
      <alignment vertical="center"/>
      <protection hidden="1"/>
    </xf>
    <xf numFmtId="0" fontId="40" fillId="18" borderId="0" xfId="0" applyFont="1" applyFill="1" applyProtection="1">
      <protection hidden="1"/>
    </xf>
    <xf numFmtId="0" fontId="14" fillId="18" borderId="4" xfId="0" applyFont="1" applyFill="1" applyBorder="1" applyAlignment="1" applyProtection="1">
      <alignment horizontal="left"/>
      <protection hidden="1"/>
    </xf>
    <xf numFmtId="0" fontId="14" fillId="18" borderId="5" xfId="0" applyFont="1" applyFill="1" applyBorder="1" applyProtection="1">
      <protection hidden="1"/>
    </xf>
    <xf numFmtId="0" fontId="14" fillId="18" borderId="6" xfId="0" applyFont="1" applyFill="1" applyBorder="1" applyProtection="1">
      <protection hidden="1"/>
    </xf>
    <xf numFmtId="0" fontId="14" fillId="18" borderId="0" xfId="0" applyFont="1" applyFill="1" applyBorder="1" applyProtection="1">
      <protection hidden="1"/>
    </xf>
    <xf numFmtId="0" fontId="36" fillId="18" borderId="0" xfId="0" applyFont="1" applyFill="1" applyBorder="1" applyAlignment="1" applyProtection="1">
      <alignment horizontal="left"/>
      <protection hidden="1"/>
    </xf>
    <xf numFmtId="0" fontId="14" fillId="18" borderId="8" xfId="0" applyFont="1" applyFill="1" applyBorder="1" applyProtection="1">
      <protection hidden="1"/>
    </xf>
    <xf numFmtId="0" fontId="14" fillId="18" borderId="0" xfId="0" applyFont="1" applyFill="1" applyBorder="1" applyAlignment="1" applyProtection="1">
      <alignment horizontal="left"/>
      <protection hidden="1"/>
    </xf>
    <xf numFmtId="0" fontId="14" fillId="18" borderId="0" xfId="0" quotePrefix="1" applyFont="1" applyFill="1" applyBorder="1" applyProtection="1">
      <protection hidden="1"/>
    </xf>
    <xf numFmtId="164" fontId="35" fillId="18" borderId="0" xfId="0" applyNumberFormat="1" applyFont="1" applyFill="1" applyBorder="1" applyProtection="1">
      <protection hidden="1"/>
    </xf>
    <xf numFmtId="0" fontId="14" fillId="18" borderId="14" xfId="0" applyFont="1" applyFill="1" applyBorder="1" applyProtection="1">
      <protection hidden="1"/>
    </xf>
    <xf numFmtId="0" fontId="14" fillId="18" borderId="15" xfId="0" applyFont="1" applyFill="1" applyBorder="1" applyProtection="1">
      <protection hidden="1"/>
    </xf>
    <xf numFmtId="0" fontId="14" fillId="3" borderId="0" xfId="0" applyNumberFormat="1" applyFont="1" applyFill="1" applyBorder="1" applyAlignment="1" applyProtection="1">
      <alignment horizontal="center" vertical="center"/>
      <protection hidden="1"/>
    </xf>
    <xf numFmtId="0" fontId="14" fillId="18" borderId="0" xfId="0" applyNumberFormat="1" applyFont="1" applyFill="1" applyBorder="1" applyAlignment="1" applyProtection="1">
      <alignment horizontal="center" vertical="center"/>
      <protection hidden="1"/>
    </xf>
    <xf numFmtId="0" fontId="35" fillId="18" borderId="0" xfId="0" applyFont="1" applyFill="1" applyBorder="1" applyAlignment="1" applyProtection="1">
      <alignment horizontal="center" vertical="center"/>
      <protection hidden="1"/>
    </xf>
    <xf numFmtId="0" fontId="35" fillId="18" borderId="0" xfId="0" applyFont="1" applyFill="1" applyBorder="1" applyAlignment="1" applyProtection="1">
      <alignment vertical="center"/>
      <protection hidden="1"/>
    </xf>
    <xf numFmtId="10" fontId="14" fillId="18" borderId="14" xfId="0" applyNumberFormat="1" applyFont="1" applyFill="1" applyBorder="1" applyAlignment="1" applyProtection="1">
      <alignment vertical="center"/>
      <protection hidden="1"/>
    </xf>
    <xf numFmtId="0" fontId="29" fillId="18" borderId="0" xfId="0" applyNumberFormat="1" applyFont="1" applyFill="1" applyBorder="1" applyAlignment="1" applyProtection="1">
      <alignment horizontal="center" vertical="center"/>
      <protection hidden="1"/>
    </xf>
    <xf numFmtId="0" fontId="25" fillId="18" borderId="0" xfId="0" applyNumberFormat="1" applyFont="1" applyFill="1" applyAlignment="1" applyProtection="1">
      <alignment vertical="center"/>
      <protection hidden="1"/>
    </xf>
    <xf numFmtId="0" fontId="25" fillId="18" borderId="0" xfId="0" applyFont="1" applyFill="1" applyAlignment="1" applyProtection="1">
      <alignment vertical="center"/>
      <protection hidden="1"/>
    </xf>
    <xf numFmtId="167" fontId="29" fillId="18" borderId="0" xfId="0" applyNumberFormat="1" applyFont="1" applyFill="1" applyBorder="1" applyAlignment="1" applyProtection="1">
      <alignment horizontal="center" vertical="center"/>
      <protection hidden="1"/>
    </xf>
    <xf numFmtId="0" fontId="35" fillId="18" borderId="8" xfId="0" applyFont="1" applyFill="1" applyBorder="1" applyAlignment="1" applyProtection="1">
      <alignment vertical="center"/>
      <protection hidden="1"/>
    </xf>
    <xf numFmtId="0" fontId="0" fillId="18" borderId="8" xfId="0" applyFont="1" applyFill="1" applyBorder="1" applyAlignment="1" applyProtection="1">
      <alignment vertical="center"/>
      <protection hidden="1"/>
    </xf>
    <xf numFmtId="0" fontId="31" fillId="18" borderId="0" xfId="0" applyFont="1" applyFill="1" applyBorder="1" applyAlignment="1" applyProtection="1">
      <alignment horizontal="left" vertical="center"/>
      <protection hidden="1"/>
    </xf>
    <xf numFmtId="0" fontId="28" fillId="18" borderId="0" xfId="0" applyFont="1" applyFill="1" applyProtection="1">
      <protection hidden="1"/>
    </xf>
    <xf numFmtId="0" fontId="25" fillId="18" borderId="0" xfId="0" applyFont="1" applyFill="1" applyBorder="1" applyAlignment="1" applyProtection="1">
      <alignment horizontal="right" vertical="center" indent="2"/>
      <protection hidden="1"/>
    </xf>
    <xf numFmtId="0" fontId="25" fillId="18" borderId="0" xfId="0" applyFont="1" applyFill="1" applyBorder="1" applyAlignment="1" applyProtection="1">
      <alignment horizontal="right" vertical="center"/>
      <protection hidden="1"/>
    </xf>
    <xf numFmtId="0" fontId="14" fillId="18" borderId="8" xfId="0" applyFont="1" applyFill="1" applyBorder="1" applyAlignment="1" applyProtection="1">
      <alignment vertical="center"/>
      <protection hidden="1"/>
    </xf>
    <xf numFmtId="14" fontId="26" fillId="23" borderId="12" xfId="0" applyNumberFormat="1" applyFont="1" applyFill="1" applyBorder="1" applyAlignment="1" applyProtection="1">
      <alignment horizontal="left" vertical="center"/>
      <protection locked="0"/>
    </xf>
    <xf numFmtId="0" fontId="14" fillId="18" borderId="13" xfId="0" applyFont="1" applyFill="1" applyBorder="1" applyAlignment="1" applyProtection="1">
      <alignment vertical="center"/>
      <protection hidden="1"/>
    </xf>
    <xf numFmtId="0" fontId="14" fillId="18" borderId="15" xfId="0" applyFont="1" applyFill="1" applyBorder="1" applyAlignment="1" applyProtection="1">
      <alignment vertical="center"/>
      <protection hidden="1"/>
    </xf>
    <xf numFmtId="0" fontId="33" fillId="18" borderId="14" xfId="0" applyFont="1" applyFill="1" applyBorder="1" applyProtection="1">
      <protection hidden="1"/>
    </xf>
    <xf numFmtId="0" fontId="33" fillId="18" borderId="5" xfId="0" applyFont="1" applyFill="1" applyBorder="1" applyProtection="1">
      <protection hidden="1"/>
    </xf>
    <xf numFmtId="0" fontId="31" fillId="24" borderId="0" xfId="0" applyFont="1" applyFill="1" applyProtection="1">
      <protection hidden="1"/>
    </xf>
    <xf numFmtId="0" fontId="31" fillId="24" borderId="0" xfId="0" applyFont="1" applyFill="1" applyAlignment="1" applyProtection="1">
      <alignment horizontal="center"/>
      <protection hidden="1"/>
    </xf>
    <xf numFmtId="0" fontId="31" fillId="18" borderId="0" xfId="0" quotePrefix="1" applyFont="1" applyFill="1" applyBorder="1" applyAlignment="1" applyProtection="1">
      <protection hidden="1"/>
    </xf>
    <xf numFmtId="164" fontId="42" fillId="18" borderId="0" xfId="0" applyNumberFormat="1" applyFont="1" applyFill="1" applyAlignment="1" applyProtection="1">
      <alignment horizontal="center"/>
      <protection hidden="1"/>
    </xf>
    <xf numFmtId="164" fontId="43" fillId="24" borderId="0" xfId="0" applyNumberFormat="1" applyFont="1" applyFill="1" applyProtection="1">
      <protection hidden="1"/>
    </xf>
    <xf numFmtId="0" fontId="31" fillId="24" borderId="9" xfId="0" applyFont="1" applyFill="1" applyBorder="1" applyAlignment="1" applyProtection="1">
      <alignment horizontal="center"/>
      <protection hidden="1"/>
    </xf>
    <xf numFmtId="0" fontId="32" fillId="18" borderId="0" xfId="0" applyFont="1" applyFill="1" applyAlignment="1" applyProtection="1">
      <alignment horizontal="center"/>
      <protection hidden="1"/>
    </xf>
    <xf numFmtId="0" fontId="31" fillId="24" borderId="16" xfId="0" applyFont="1" applyFill="1" applyBorder="1" applyAlignment="1" applyProtection="1">
      <alignment horizontal="center"/>
      <protection hidden="1"/>
    </xf>
    <xf numFmtId="0" fontId="31" fillId="24" borderId="17" xfId="0" applyFont="1" applyFill="1" applyBorder="1" applyAlignment="1" applyProtection="1">
      <alignment horizontal="center"/>
      <protection hidden="1"/>
    </xf>
    <xf numFmtId="0" fontId="31" fillId="18" borderId="0" xfId="0" applyFont="1" applyFill="1" applyBorder="1" applyAlignment="1" applyProtection="1">
      <protection hidden="1"/>
    </xf>
    <xf numFmtId="0" fontId="31" fillId="18" borderId="0" xfId="0" quotePrefix="1" applyFont="1" applyFill="1" applyBorder="1" applyAlignment="1" applyProtection="1">
      <alignment horizontal="right"/>
      <protection hidden="1"/>
    </xf>
    <xf numFmtId="0" fontId="44" fillId="24" borderId="0" xfId="0" applyFont="1" applyFill="1" applyProtection="1">
      <protection hidden="1"/>
    </xf>
    <xf numFmtId="0" fontId="45" fillId="24" borderId="0" xfId="0" applyFont="1" applyFill="1" applyProtection="1">
      <protection hidden="1"/>
    </xf>
    <xf numFmtId="164" fontId="45" fillId="24" borderId="0" xfId="0" applyNumberFormat="1" applyFont="1" applyFill="1" applyProtection="1">
      <protection hidden="1"/>
    </xf>
    <xf numFmtId="0" fontId="45" fillId="18" borderId="0" xfId="0" quotePrefix="1" applyFont="1" applyFill="1" applyBorder="1" applyAlignment="1" applyProtection="1">
      <protection hidden="1"/>
    </xf>
    <xf numFmtId="0" fontId="45" fillId="18" borderId="0" xfId="0" applyFont="1" applyFill="1" applyProtection="1">
      <protection hidden="1"/>
    </xf>
    <xf numFmtId="164" fontId="27" fillId="18" borderId="0" xfId="0" applyNumberFormat="1" applyFont="1" applyFill="1" applyProtection="1">
      <protection hidden="1"/>
    </xf>
    <xf numFmtId="164" fontId="45" fillId="18" borderId="0" xfId="0" applyNumberFormat="1" applyFont="1" applyFill="1" applyProtection="1">
      <protection hidden="1"/>
    </xf>
    <xf numFmtId="3" fontId="45" fillId="18" borderId="0" xfId="0" applyNumberFormat="1" applyFont="1" applyFill="1" applyProtection="1">
      <protection hidden="1"/>
    </xf>
    <xf numFmtId="0" fontId="42" fillId="13" borderId="1" xfId="0" applyFont="1" applyFill="1" applyBorder="1" applyProtection="1">
      <protection hidden="1"/>
    </xf>
    <xf numFmtId="0" fontId="27" fillId="13" borderId="2" xfId="0" applyFont="1" applyFill="1" applyBorder="1" applyAlignment="1" applyProtection="1">
      <alignment horizontal="left" vertical="center" indent="2"/>
      <protection hidden="1"/>
    </xf>
    <xf numFmtId="0" fontId="27" fillId="13" borderId="3" xfId="0" applyFont="1" applyFill="1" applyBorder="1" applyAlignment="1" applyProtection="1">
      <alignment horizontal="center"/>
      <protection hidden="1"/>
    </xf>
    <xf numFmtId="0" fontId="31" fillId="18" borderId="2" xfId="0" applyFont="1" applyFill="1" applyBorder="1" applyAlignment="1" applyProtection="1">
      <protection hidden="1"/>
    </xf>
    <xf numFmtId="0" fontId="42" fillId="11" borderId="12" xfId="0" quotePrefix="1" applyFont="1" applyFill="1" applyBorder="1" applyAlignment="1" applyProtection="1">
      <alignment horizontal="right"/>
      <protection hidden="1"/>
    </xf>
    <xf numFmtId="168" fontId="42" fillId="14" borderId="12" xfId="0" applyNumberFormat="1" applyFont="1" applyFill="1" applyBorder="1" applyAlignment="1" applyProtection="1">
      <alignment horizontal="right"/>
      <protection hidden="1"/>
    </xf>
    <xf numFmtId="168" fontId="42" fillId="13" borderId="12" xfId="0" applyNumberFormat="1" applyFont="1" applyFill="1" applyBorder="1" applyAlignment="1" applyProtection="1">
      <alignment horizontal="right"/>
      <protection hidden="1"/>
    </xf>
    <xf numFmtId="0" fontId="31" fillId="18" borderId="1" xfId="0" applyFont="1" applyFill="1" applyBorder="1" applyProtection="1">
      <protection hidden="1"/>
    </xf>
    <xf numFmtId="0" fontId="31" fillId="18" borderId="2" xfId="0" applyFont="1" applyFill="1" applyBorder="1" applyAlignment="1" applyProtection="1">
      <alignment horizontal="right"/>
      <protection hidden="1"/>
    </xf>
    <xf numFmtId="0" fontId="31" fillId="18" borderId="3" xfId="0" applyFont="1" applyFill="1" applyBorder="1" applyAlignment="1" applyProtection="1">
      <alignment horizontal="right"/>
      <protection hidden="1"/>
    </xf>
    <xf numFmtId="0" fontId="31" fillId="18" borderId="1" xfId="0" applyFont="1" applyFill="1" applyBorder="1" applyAlignment="1" applyProtection="1">
      <alignment vertical="center"/>
      <protection hidden="1"/>
    </xf>
    <xf numFmtId="0" fontId="31" fillId="18" borderId="2" xfId="0" applyFont="1" applyFill="1" applyBorder="1" applyAlignment="1" applyProtection="1">
      <alignment vertical="center"/>
      <protection hidden="1"/>
    </xf>
    <xf numFmtId="0" fontId="31" fillId="18" borderId="3" xfId="0" applyFont="1" applyFill="1" applyBorder="1" applyAlignment="1" applyProtection="1">
      <alignment vertical="center"/>
      <protection hidden="1"/>
    </xf>
    <xf numFmtId="0" fontId="32" fillId="18" borderId="0" xfId="0" applyFont="1" applyFill="1" applyBorder="1" applyAlignment="1" applyProtection="1">
      <alignment vertical="center"/>
      <protection hidden="1"/>
    </xf>
    <xf numFmtId="0" fontId="44" fillId="18" borderId="0" xfId="0" applyFont="1" applyFill="1" applyBorder="1" applyAlignment="1" applyProtection="1">
      <alignment vertical="center"/>
      <protection hidden="1"/>
    </xf>
    <xf numFmtId="0" fontId="31" fillId="18" borderId="0" xfId="0" applyFont="1" applyFill="1" applyBorder="1" applyAlignment="1" applyProtection="1">
      <alignment vertical="center"/>
      <protection hidden="1"/>
    </xf>
    <xf numFmtId="0" fontId="26" fillId="18" borderId="0" xfId="0" applyFont="1" applyFill="1" applyAlignment="1" applyProtection="1">
      <protection hidden="1"/>
    </xf>
    <xf numFmtId="0" fontId="27" fillId="18" borderId="0" xfId="0" applyFont="1" applyFill="1" applyAlignment="1" applyProtection="1">
      <alignment horizontal="right"/>
      <protection hidden="1"/>
    </xf>
    <xf numFmtId="0" fontId="31" fillId="18" borderId="1" xfId="0" applyFont="1" applyFill="1" applyBorder="1" applyAlignment="1" applyProtection="1">
      <protection hidden="1"/>
    </xf>
    <xf numFmtId="164" fontId="27" fillId="18" borderId="0" xfId="0" quotePrefix="1" applyNumberFormat="1" applyFont="1" applyFill="1" applyAlignment="1" applyProtection="1">
      <alignment horizontal="right"/>
      <protection hidden="1"/>
    </xf>
    <xf numFmtId="49" fontId="33" fillId="18" borderId="1" xfId="0" applyNumberFormat="1" applyFont="1" applyFill="1" applyBorder="1" applyAlignment="1" applyProtection="1">
      <alignment horizontal="left"/>
      <protection hidden="1"/>
    </xf>
    <xf numFmtId="49" fontId="33" fillId="18" borderId="2" xfId="0" applyNumberFormat="1" applyFont="1" applyFill="1" applyBorder="1" applyAlignment="1" applyProtection="1">
      <alignment horizontal="left"/>
      <protection hidden="1"/>
    </xf>
    <xf numFmtId="1" fontId="31" fillId="18" borderId="0" xfId="0" applyNumberFormat="1" applyFont="1" applyFill="1" applyBorder="1" applyAlignment="1" applyProtection="1">
      <alignment horizontal="right"/>
      <protection hidden="1"/>
    </xf>
    <xf numFmtId="0" fontId="27" fillId="18" borderId="0" xfId="0" quotePrefix="1" applyNumberFormat="1" applyFont="1" applyFill="1" applyAlignment="1" applyProtection="1">
      <alignment horizontal="right"/>
      <protection hidden="1"/>
    </xf>
    <xf numFmtId="0" fontId="31" fillId="6" borderId="4" xfId="0" applyFont="1" applyFill="1" applyBorder="1" applyAlignment="1" applyProtection="1">
      <alignment horizontal="right"/>
      <protection hidden="1"/>
    </xf>
    <xf numFmtId="0" fontId="33" fillId="23" borderId="5" xfId="0" applyFont="1" applyFill="1" applyBorder="1" applyAlignment="1" applyProtection="1">
      <alignment horizontal="left"/>
      <protection locked="0"/>
    </xf>
    <xf numFmtId="164" fontId="27" fillId="6" borderId="7" xfId="0" applyNumberFormat="1" applyFont="1" applyFill="1" applyBorder="1" applyAlignment="1" applyProtection="1">
      <alignment horizontal="left"/>
      <protection hidden="1"/>
    </xf>
    <xf numFmtId="0" fontId="31" fillId="18" borderId="14" xfId="0" applyFont="1" applyFill="1" applyBorder="1" applyAlignment="1" applyProtection="1">
      <alignment horizontal="left" shrinkToFit="1"/>
      <protection hidden="1"/>
    </xf>
    <xf numFmtId="3" fontId="31" fillId="18" borderId="15" xfId="0" applyNumberFormat="1" applyFont="1" applyFill="1" applyBorder="1" applyAlignment="1" applyProtection="1">
      <protection hidden="1"/>
    </xf>
    <xf numFmtId="164" fontId="27" fillId="6" borderId="13" xfId="0" applyNumberFormat="1" applyFont="1" applyFill="1" applyBorder="1" applyAlignment="1" applyProtection="1">
      <alignment horizontal="left"/>
      <protection hidden="1"/>
    </xf>
    <xf numFmtId="0" fontId="31" fillId="18" borderId="14" xfId="0" applyFont="1" applyFill="1" applyBorder="1" applyAlignment="1" applyProtection="1">
      <alignment horizontal="left"/>
      <protection hidden="1"/>
    </xf>
    <xf numFmtId="164" fontId="27" fillId="6" borderId="4" xfId="0" applyNumberFormat="1" applyFont="1" applyFill="1" applyBorder="1" applyAlignment="1" applyProtection="1">
      <alignment horizontal="left"/>
      <protection hidden="1"/>
    </xf>
    <xf numFmtId="164" fontId="27" fillId="18" borderId="5" xfId="0" applyNumberFormat="1" applyFont="1" applyFill="1" applyBorder="1" applyAlignment="1" applyProtection="1">
      <alignment horizontal="left"/>
      <protection hidden="1"/>
    </xf>
    <xf numFmtId="164" fontId="31" fillId="18" borderId="5" xfId="0" applyNumberFormat="1" applyFont="1" applyFill="1" applyBorder="1" applyAlignment="1" applyProtection="1">
      <protection hidden="1"/>
    </xf>
    <xf numFmtId="0" fontId="44" fillId="18" borderId="5" xfId="0" applyNumberFormat="1" applyFont="1" applyFill="1" applyBorder="1" applyAlignment="1" applyProtection="1">
      <alignment horizontal="right"/>
      <protection hidden="1"/>
    </xf>
    <xf numFmtId="164" fontId="27" fillId="18" borderId="0" xfId="0" quotePrefix="1" applyNumberFormat="1" applyFont="1" applyFill="1" applyBorder="1" applyAlignment="1" applyProtection="1">
      <alignment horizontal="left"/>
      <protection hidden="1"/>
    </xf>
    <xf numFmtId="164" fontId="31" fillId="18" borderId="0" xfId="0" applyNumberFormat="1" applyFont="1" applyFill="1" applyBorder="1" applyAlignment="1" applyProtection="1">
      <protection hidden="1"/>
    </xf>
    <xf numFmtId="0" fontId="44" fillId="18" borderId="0" xfId="0" applyNumberFormat="1" applyFont="1" applyFill="1" applyBorder="1" applyAlignment="1" applyProtection="1">
      <alignment horizontal="right"/>
      <protection hidden="1"/>
    </xf>
    <xf numFmtId="0" fontId="31" fillId="7" borderId="14" xfId="0" applyFont="1" applyFill="1" applyBorder="1" applyAlignment="1" applyProtection="1">
      <alignment horizontal="left" shrinkToFit="1"/>
      <protection hidden="1"/>
    </xf>
    <xf numFmtId="0" fontId="31" fillId="7" borderId="14" xfId="0" applyFont="1" applyFill="1" applyBorder="1" applyAlignment="1" applyProtection="1">
      <alignment horizontal="left"/>
      <protection hidden="1"/>
    </xf>
    <xf numFmtId="3" fontId="31" fillId="7" borderId="15" xfId="0" applyNumberFormat="1" applyFont="1" applyFill="1" applyBorder="1" applyAlignment="1" applyProtection="1">
      <protection hidden="1"/>
    </xf>
    <xf numFmtId="164" fontId="27" fillId="18" borderId="0" xfId="0" applyNumberFormat="1" applyFont="1" applyFill="1" applyBorder="1" applyAlignment="1" applyProtection="1">
      <alignment horizontal="left"/>
      <protection hidden="1"/>
    </xf>
    <xf numFmtId="164" fontId="27" fillId="18" borderId="7" xfId="0" applyNumberFormat="1" applyFont="1" applyFill="1" applyBorder="1" applyAlignment="1" applyProtection="1">
      <alignment horizontal="left"/>
      <protection hidden="1"/>
    </xf>
    <xf numFmtId="164" fontId="42" fillId="18" borderId="0" xfId="0" applyNumberFormat="1" applyFont="1" applyFill="1" applyBorder="1" applyAlignment="1" applyProtection="1">
      <alignment horizontal="right"/>
      <protection hidden="1"/>
    </xf>
    <xf numFmtId="0" fontId="33" fillId="18" borderId="4" xfId="0" applyFont="1" applyFill="1" applyBorder="1" applyAlignment="1" applyProtection="1">
      <protection hidden="1"/>
    </xf>
    <xf numFmtId="0" fontId="33" fillId="18" borderId="5" xfId="0" applyFont="1" applyFill="1" applyBorder="1" applyAlignment="1" applyProtection="1">
      <protection hidden="1"/>
    </xf>
    <xf numFmtId="0" fontId="31" fillId="18" borderId="5" xfId="0" applyFont="1" applyFill="1" applyBorder="1" applyAlignment="1" applyProtection="1">
      <protection hidden="1"/>
    </xf>
    <xf numFmtId="0" fontId="32" fillId="18" borderId="0" xfId="0" applyFont="1" applyFill="1" applyBorder="1" applyAlignment="1" applyProtection="1">
      <alignment horizontal="center"/>
      <protection hidden="1"/>
    </xf>
    <xf numFmtId="0" fontId="31" fillId="18" borderId="7" xfId="0" applyFont="1" applyFill="1" applyBorder="1" applyAlignment="1" applyProtection="1">
      <protection hidden="1"/>
    </xf>
    <xf numFmtId="164" fontId="27" fillId="18" borderId="0" xfId="0" applyNumberFormat="1" applyFont="1" applyFill="1" applyBorder="1" applyAlignment="1" applyProtection="1">
      <alignment horizontal="right"/>
      <protection hidden="1"/>
    </xf>
    <xf numFmtId="0" fontId="31" fillId="18" borderId="13" xfId="0" applyFont="1" applyFill="1" applyBorder="1" applyAlignment="1" applyProtection="1">
      <protection hidden="1"/>
    </xf>
    <xf numFmtId="0" fontId="31" fillId="18" borderId="14" xfId="0" applyFont="1" applyFill="1" applyBorder="1" applyAlignment="1" applyProtection="1">
      <protection hidden="1"/>
    </xf>
    <xf numFmtId="0" fontId="33" fillId="7" borderId="7" xfId="0" applyFont="1" applyFill="1" applyBorder="1" applyAlignment="1" applyProtection="1">
      <protection hidden="1"/>
    </xf>
    <xf numFmtId="0" fontId="31" fillId="7" borderId="0" xfId="0" applyFont="1" applyFill="1" applyBorder="1" applyAlignment="1" applyProtection="1">
      <protection hidden="1"/>
    </xf>
    <xf numFmtId="0" fontId="31" fillId="7" borderId="7" xfId="0" applyFont="1" applyFill="1" applyBorder="1" applyAlignment="1" applyProtection="1">
      <protection hidden="1"/>
    </xf>
    <xf numFmtId="0" fontId="31" fillId="7" borderId="13" xfId="0" applyFont="1" applyFill="1" applyBorder="1" applyAlignment="1" applyProtection="1">
      <protection hidden="1"/>
    </xf>
    <xf numFmtId="0" fontId="31" fillId="7" borderId="14" xfId="0" applyFont="1" applyFill="1" applyBorder="1" applyAlignment="1" applyProtection="1">
      <protection hidden="1"/>
    </xf>
    <xf numFmtId="0" fontId="31" fillId="18" borderId="0" xfId="0" applyFont="1" applyFill="1" applyBorder="1" applyAlignment="1" applyProtection="1">
      <alignment horizontal="right"/>
      <protection hidden="1"/>
    </xf>
    <xf numFmtId="0" fontId="31" fillId="18" borderId="2" xfId="0" quotePrefix="1" applyFont="1" applyFill="1" applyBorder="1" applyAlignment="1" applyProtection="1">
      <protection hidden="1"/>
    </xf>
    <xf numFmtId="0" fontId="46" fillId="18" borderId="4" xfId="0" applyFont="1" applyFill="1" applyBorder="1" applyAlignment="1" applyProtection="1">
      <protection hidden="1"/>
    </xf>
    <xf numFmtId="0" fontId="47" fillId="18" borderId="5" xfId="0" applyFont="1" applyFill="1" applyBorder="1" applyAlignment="1" applyProtection="1">
      <protection hidden="1"/>
    </xf>
    <xf numFmtId="0" fontId="47" fillId="18" borderId="7" xfId="0" applyFont="1" applyFill="1" applyBorder="1" applyAlignment="1" applyProtection="1">
      <protection hidden="1"/>
    </xf>
    <xf numFmtId="0" fontId="47" fillId="18" borderId="0" xfId="0" applyFont="1" applyFill="1" applyBorder="1" applyAlignment="1" applyProtection="1">
      <protection hidden="1"/>
    </xf>
    <xf numFmtId="0" fontId="47" fillId="18" borderId="13" xfId="0" applyFont="1" applyFill="1" applyBorder="1" applyAlignment="1" applyProtection="1">
      <protection hidden="1"/>
    </xf>
    <xf numFmtId="0" fontId="47" fillId="18" borderId="14" xfId="0" applyFont="1" applyFill="1" applyBorder="1" applyAlignment="1" applyProtection="1">
      <protection hidden="1"/>
    </xf>
    <xf numFmtId="0" fontId="47" fillId="18" borderId="1" xfId="0" applyFont="1" applyFill="1" applyBorder="1" applyAlignment="1" applyProtection="1">
      <protection hidden="1"/>
    </xf>
    <xf numFmtId="0" fontId="47" fillId="18" borderId="2" xfId="0" applyFont="1" applyFill="1" applyBorder="1" applyAlignment="1" applyProtection="1">
      <protection hidden="1"/>
    </xf>
    <xf numFmtId="0" fontId="27" fillId="18" borderId="0" xfId="0" applyFont="1" applyFill="1" applyProtection="1">
      <protection hidden="1"/>
    </xf>
    <xf numFmtId="3" fontId="47" fillId="18" borderId="0" xfId="0" applyNumberFormat="1" applyFont="1" applyFill="1" applyBorder="1" applyAlignment="1" applyProtection="1">
      <alignment horizontal="right"/>
      <protection hidden="1"/>
    </xf>
    <xf numFmtId="0" fontId="42" fillId="13" borderId="1" xfId="0" applyFont="1" applyFill="1" applyBorder="1" applyAlignment="1" applyProtection="1">
      <protection hidden="1"/>
    </xf>
    <xf numFmtId="0" fontId="42" fillId="13" borderId="2" xfId="0" applyFont="1" applyFill="1" applyBorder="1" applyAlignment="1" applyProtection="1">
      <alignment horizontal="left"/>
      <protection hidden="1"/>
    </xf>
    <xf numFmtId="0" fontId="47" fillId="18" borderId="4" xfId="0" applyFont="1" applyFill="1" applyBorder="1" applyAlignment="1" applyProtection="1">
      <protection hidden="1"/>
    </xf>
    <xf numFmtId="0" fontId="31" fillId="18" borderId="4" xfId="0" applyFont="1" applyFill="1" applyBorder="1" applyAlignment="1" applyProtection="1">
      <protection hidden="1"/>
    </xf>
    <xf numFmtId="3" fontId="31" fillId="18" borderId="15" xfId="0" applyNumberFormat="1" applyFont="1" applyFill="1" applyBorder="1" applyAlignment="1" applyProtection="1">
      <alignment horizontal="right"/>
      <protection hidden="1"/>
    </xf>
    <xf numFmtId="3" fontId="47" fillId="18" borderId="6" xfId="0" applyNumberFormat="1" applyFont="1" applyFill="1" applyBorder="1" applyAlignment="1" applyProtection="1">
      <alignment horizontal="right"/>
      <protection hidden="1"/>
    </xf>
    <xf numFmtId="3" fontId="47" fillId="18" borderId="8" xfId="0" applyNumberFormat="1" applyFont="1" applyFill="1" applyBorder="1" applyAlignment="1" applyProtection="1">
      <alignment horizontal="right"/>
      <protection hidden="1"/>
    </xf>
    <xf numFmtId="0" fontId="47" fillId="7" borderId="18" xfId="0" applyFont="1" applyFill="1" applyBorder="1" applyAlignment="1" applyProtection="1">
      <protection hidden="1"/>
    </xf>
    <xf numFmtId="0" fontId="47" fillId="7" borderId="19" xfId="0" applyFont="1" applyFill="1" applyBorder="1" applyAlignment="1" applyProtection="1">
      <protection hidden="1"/>
    </xf>
    <xf numFmtId="0" fontId="47" fillId="18" borderId="20" xfId="0" applyFont="1" applyFill="1" applyBorder="1" applyAlignment="1" applyProtection="1">
      <protection hidden="1"/>
    </xf>
    <xf numFmtId="0" fontId="31" fillId="18" borderId="22" xfId="0" quotePrefix="1" applyFont="1" applyFill="1" applyBorder="1" applyAlignment="1" applyProtection="1">
      <protection hidden="1"/>
    </xf>
    <xf numFmtId="0" fontId="47" fillId="18" borderId="19" xfId="0" applyFont="1" applyFill="1" applyBorder="1" applyAlignment="1" applyProtection="1">
      <alignment vertical="center"/>
      <protection hidden="1"/>
    </xf>
    <xf numFmtId="0" fontId="31" fillId="18" borderId="0" xfId="0" quotePrefix="1" applyFont="1" applyFill="1" applyBorder="1" applyAlignment="1" applyProtection="1">
      <alignment vertical="center"/>
      <protection hidden="1"/>
    </xf>
    <xf numFmtId="0" fontId="47" fillId="18" borderId="23" xfId="0" applyFont="1" applyFill="1" applyBorder="1" applyAlignment="1" applyProtection="1">
      <protection hidden="1"/>
    </xf>
    <xf numFmtId="0" fontId="31" fillId="18" borderId="25" xfId="0" quotePrefix="1" applyFont="1" applyFill="1" applyBorder="1" applyAlignment="1" applyProtection="1">
      <protection hidden="1"/>
    </xf>
    <xf numFmtId="0" fontId="47" fillId="18" borderId="19" xfId="0" applyFont="1" applyFill="1" applyBorder="1" applyAlignment="1" applyProtection="1">
      <protection hidden="1"/>
    </xf>
    <xf numFmtId="0" fontId="47" fillId="7" borderId="23" xfId="0" applyFont="1" applyFill="1" applyBorder="1" applyAlignment="1" applyProtection="1">
      <protection hidden="1"/>
    </xf>
    <xf numFmtId="0" fontId="31" fillId="18" borderId="25" xfId="0" applyFont="1" applyFill="1" applyBorder="1" applyAlignment="1" applyProtection="1">
      <protection hidden="1"/>
    </xf>
    <xf numFmtId="3" fontId="47" fillId="18" borderId="3" xfId="0" applyNumberFormat="1" applyFont="1" applyFill="1" applyBorder="1" applyAlignment="1" applyProtection="1">
      <alignment horizontal="right"/>
      <protection hidden="1"/>
    </xf>
    <xf numFmtId="0" fontId="48" fillId="18" borderId="4" xfId="0" applyFont="1" applyFill="1" applyBorder="1" applyAlignment="1" applyProtection="1">
      <protection hidden="1"/>
    </xf>
    <xf numFmtId="0" fontId="44" fillId="18" borderId="5" xfId="0" applyFont="1" applyFill="1" applyBorder="1" applyAlignment="1" applyProtection="1">
      <protection hidden="1"/>
    </xf>
    <xf numFmtId="0" fontId="47" fillId="18" borderId="5" xfId="0" applyFont="1" applyFill="1" applyBorder="1" applyAlignment="1" applyProtection="1">
      <alignment horizontal="right"/>
      <protection hidden="1"/>
    </xf>
    <xf numFmtId="3" fontId="47" fillId="18" borderId="5" xfId="0" quotePrefix="1" applyNumberFormat="1" applyFont="1" applyFill="1" applyBorder="1" applyAlignment="1" applyProtection="1">
      <protection hidden="1"/>
    </xf>
    <xf numFmtId="3" fontId="47" fillId="18" borderId="5" xfId="0" applyNumberFormat="1" applyFont="1" applyFill="1" applyBorder="1" applyAlignment="1" applyProtection="1">
      <alignment horizontal="right"/>
      <protection hidden="1"/>
    </xf>
    <xf numFmtId="0" fontId="44" fillId="18" borderId="0" xfId="0" applyFont="1" applyFill="1" applyBorder="1" applyAlignment="1" applyProtection="1">
      <protection hidden="1"/>
    </xf>
    <xf numFmtId="0" fontId="47" fillId="18" borderId="0" xfId="0" applyFont="1" applyFill="1" applyBorder="1" applyAlignment="1" applyProtection="1">
      <alignment horizontal="right"/>
      <protection hidden="1"/>
    </xf>
    <xf numFmtId="3" fontId="47" fillId="18" borderId="0" xfId="0" quotePrefix="1" applyNumberFormat="1" applyFont="1" applyFill="1" applyBorder="1" applyAlignment="1" applyProtection="1">
      <protection hidden="1"/>
    </xf>
    <xf numFmtId="3" fontId="31" fillId="18" borderId="0" xfId="0" quotePrefix="1" applyNumberFormat="1" applyFont="1" applyFill="1" applyBorder="1" applyAlignment="1" applyProtection="1">
      <protection hidden="1"/>
    </xf>
    <xf numFmtId="3" fontId="31" fillId="18" borderId="0" xfId="0" applyNumberFormat="1" applyFont="1" applyFill="1" applyBorder="1" applyAlignment="1" applyProtection="1">
      <alignment horizontal="right"/>
      <protection hidden="1"/>
    </xf>
    <xf numFmtId="164" fontId="27" fillId="18" borderId="0" xfId="0" applyNumberFormat="1" applyFont="1" applyFill="1" applyBorder="1" applyAlignment="1" applyProtection="1">
      <protection hidden="1"/>
    </xf>
    <xf numFmtId="168" fontId="31" fillId="18" borderId="0" xfId="0" applyNumberFormat="1" applyFont="1" applyFill="1" applyBorder="1" applyAlignment="1" applyProtection="1">
      <alignment horizontal="right"/>
      <protection hidden="1"/>
    </xf>
    <xf numFmtId="0" fontId="31" fillId="18" borderId="0" xfId="0" applyFont="1" applyFill="1" applyBorder="1" applyProtection="1">
      <protection hidden="1"/>
    </xf>
    <xf numFmtId="0" fontId="27" fillId="13" borderId="2" xfId="0" applyFont="1" applyFill="1" applyBorder="1" applyAlignment="1" applyProtection="1">
      <alignment horizontal="left" indent="2"/>
      <protection hidden="1"/>
    </xf>
    <xf numFmtId="0" fontId="49" fillId="18" borderId="7" xfId="0" applyFont="1" applyFill="1" applyBorder="1" applyProtection="1">
      <protection hidden="1"/>
    </xf>
    <xf numFmtId="0" fontId="31" fillId="0" borderId="7" xfId="0" applyFont="1" applyFill="1" applyBorder="1" applyProtection="1">
      <protection hidden="1"/>
    </xf>
    <xf numFmtId="0" fontId="31" fillId="23" borderId="0" xfId="0" applyNumberFormat="1" applyFont="1" applyFill="1" applyBorder="1" applyProtection="1">
      <protection locked="0"/>
    </xf>
    <xf numFmtId="0" fontId="31" fillId="18" borderId="0" xfId="0" applyFont="1" applyFill="1" applyBorder="1" applyAlignment="1" applyProtection="1">
      <alignment horizontal="left"/>
      <protection hidden="1"/>
    </xf>
    <xf numFmtId="0" fontId="31" fillId="23" borderId="26" xfId="0" applyNumberFormat="1" applyFont="1" applyFill="1" applyBorder="1" applyProtection="1">
      <protection locked="0"/>
    </xf>
    <xf numFmtId="0" fontId="33" fillId="18" borderId="4" xfId="0" applyFont="1" applyFill="1" applyBorder="1" applyProtection="1">
      <protection hidden="1"/>
    </xf>
    <xf numFmtId="0" fontId="50" fillId="18" borderId="0" xfId="0" applyFont="1" applyFill="1" applyBorder="1" applyProtection="1">
      <protection hidden="1"/>
    </xf>
    <xf numFmtId="0" fontId="50" fillId="18" borderId="7" xfId="0" applyFont="1" applyFill="1" applyBorder="1" applyProtection="1">
      <protection hidden="1"/>
    </xf>
    <xf numFmtId="0" fontId="50" fillId="18" borderId="0" xfId="0" quotePrefix="1" applyFont="1" applyFill="1" applyBorder="1" applyProtection="1">
      <protection hidden="1"/>
    </xf>
    <xf numFmtId="0" fontId="31" fillId="18" borderId="7" xfId="0" applyFont="1" applyFill="1" applyBorder="1" applyProtection="1">
      <protection hidden="1"/>
    </xf>
    <xf numFmtId="0" fontId="31" fillId="18" borderId="28" xfId="0" applyFont="1" applyFill="1" applyBorder="1" applyProtection="1">
      <protection hidden="1"/>
    </xf>
    <xf numFmtId="0" fontId="31" fillId="18" borderId="25" xfId="0" applyFont="1" applyFill="1" applyBorder="1" applyProtection="1">
      <protection hidden="1"/>
    </xf>
    <xf numFmtId="0" fontId="31" fillId="23" borderId="22" xfId="0" applyNumberFormat="1" applyFont="1" applyFill="1" applyBorder="1" applyProtection="1">
      <protection locked="0"/>
    </xf>
    <xf numFmtId="0" fontId="31" fillId="18" borderId="22" xfId="0" applyFont="1" applyFill="1" applyBorder="1" applyAlignment="1" applyProtection="1">
      <protection hidden="1"/>
    </xf>
    <xf numFmtId="0" fontId="31" fillId="23" borderId="25" xfId="0" applyNumberFormat="1" applyFont="1" applyFill="1" applyBorder="1" applyProtection="1">
      <protection locked="0"/>
    </xf>
    <xf numFmtId="0" fontId="31" fillId="18" borderId="0" xfId="0" applyNumberFormat="1" applyFont="1" applyFill="1" applyBorder="1" applyProtection="1">
      <protection hidden="1"/>
    </xf>
    <xf numFmtId="0" fontId="31" fillId="0" borderId="0" xfId="0" applyFont="1" applyFill="1" applyBorder="1" applyProtection="1">
      <protection hidden="1"/>
    </xf>
    <xf numFmtId="0" fontId="50" fillId="18" borderId="0" xfId="0" applyFont="1" applyFill="1" applyProtection="1">
      <protection hidden="1"/>
    </xf>
    <xf numFmtId="0" fontId="52" fillId="18" borderId="0" xfId="0" applyFont="1" applyFill="1" applyBorder="1" applyProtection="1">
      <protection hidden="1"/>
    </xf>
    <xf numFmtId="3" fontId="32" fillId="18" borderId="0" xfId="0" applyNumberFormat="1" applyFont="1" applyFill="1" applyBorder="1" applyAlignment="1" applyProtection="1">
      <alignment horizontal="center"/>
      <protection hidden="1"/>
    </xf>
    <xf numFmtId="0" fontId="31" fillId="23" borderId="0" xfId="0" applyFont="1" applyFill="1" applyBorder="1" applyProtection="1">
      <protection locked="0"/>
    </xf>
    <xf numFmtId="0" fontId="44" fillId="18" borderId="0" xfId="0" applyFont="1" applyFill="1" applyAlignment="1" applyProtection="1">
      <alignment horizontal="center"/>
      <protection hidden="1"/>
    </xf>
    <xf numFmtId="0" fontId="31" fillId="18" borderId="7" xfId="0" applyFont="1" applyFill="1" applyBorder="1" applyAlignment="1" applyProtection="1">
      <alignment horizontal="left"/>
      <protection hidden="1"/>
    </xf>
    <xf numFmtId="3" fontId="31" fillId="18" borderId="5" xfId="0" applyNumberFormat="1" applyFont="1" applyFill="1" applyBorder="1" applyAlignment="1" applyProtection="1">
      <protection hidden="1"/>
    </xf>
    <xf numFmtId="0" fontId="50" fillId="18" borderId="13" xfId="0" applyFont="1" applyFill="1" applyBorder="1" applyProtection="1">
      <protection hidden="1"/>
    </xf>
    <xf numFmtId="0" fontId="52" fillId="18" borderId="14" xfId="0" applyFont="1" applyFill="1" applyBorder="1" applyProtection="1">
      <protection hidden="1"/>
    </xf>
    <xf numFmtId="0" fontId="33" fillId="18" borderId="0" xfId="0" applyNumberFormat="1" applyFont="1" applyFill="1" applyBorder="1" applyProtection="1">
      <protection hidden="1"/>
    </xf>
    <xf numFmtId="0" fontId="31" fillId="18" borderId="14" xfId="0" applyNumberFormat="1" applyFont="1" applyFill="1" applyBorder="1" applyAlignment="1" applyProtection="1">
      <protection hidden="1"/>
    </xf>
    <xf numFmtId="174" fontId="31" fillId="18" borderId="14" xfId="0" applyNumberFormat="1" applyFont="1" applyFill="1" applyBorder="1" applyAlignment="1" applyProtection="1">
      <alignment horizontal="right"/>
      <protection hidden="1"/>
    </xf>
    <xf numFmtId="0" fontId="31" fillId="18" borderId="14" xfId="0" applyNumberFormat="1" applyFont="1" applyFill="1" applyBorder="1" applyAlignment="1" applyProtection="1">
      <alignment horizontal="right"/>
      <protection hidden="1"/>
    </xf>
    <xf numFmtId="0" fontId="31" fillId="18" borderId="14" xfId="0" applyNumberFormat="1" applyFont="1" applyFill="1" applyBorder="1" applyProtection="1">
      <protection hidden="1"/>
    </xf>
    <xf numFmtId="0" fontId="33" fillId="18" borderId="4" xfId="0" applyNumberFormat="1" applyFont="1" applyFill="1" applyBorder="1" applyProtection="1">
      <protection hidden="1"/>
    </xf>
    <xf numFmtId="0" fontId="33" fillId="18" borderId="5" xfId="0" applyNumberFormat="1" applyFont="1" applyFill="1" applyBorder="1" applyProtection="1">
      <protection hidden="1"/>
    </xf>
    <xf numFmtId="0" fontId="31" fillId="18" borderId="5" xfId="0" applyNumberFormat="1" applyFont="1" applyFill="1" applyBorder="1" applyAlignment="1" applyProtection="1">
      <protection hidden="1"/>
    </xf>
    <xf numFmtId="0" fontId="33" fillId="18" borderId="13" xfId="0" applyNumberFormat="1" applyFont="1" applyFill="1" applyBorder="1" applyProtection="1">
      <protection hidden="1"/>
    </xf>
    <xf numFmtId="0" fontId="33" fillId="18" borderId="14" xfId="0" applyNumberFormat="1" applyFont="1" applyFill="1" applyBorder="1" applyProtection="1">
      <protection hidden="1"/>
    </xf>
    <xf numFmtId="0" fontId="33" fillId="18" borderId="7" xfId="0" applyNumberFormat="1" applyFont="1" applyFill="1" applyBorder="1" applyProtection="1">
      <protection hidden="1"/>
    </xf>
    <xf numFmtId="0" fontId="31" fillId="18" borderId="0" xfId="0" applyNumberFormat="1" applyFont="1" applyFill="1" applyBorder="1" applyAlignment="1" applyProtection="1">
      <protection hidden="1"/>
    </xf>
    <xf numFmtId="0" fontId="31" fillId="18" borderId="13" xfId="0" applyNumberFormat="1" applyFont="1" applyFill="1" applyBorder="1" applyProtection="1">
      <protection hidden="1"/>
    </xf>
    <xf numFmtId="0" fontId="31" fillId="18" borderId="4" xfId="0" applyNumberFormat="1" applyFont="1" applyFill="1" applyBorder="1" applyProtection="1">
      <protection hidden="1"/>
    </xf>
    <xf numFmtId="0" fontId="31" fillId="18" borderId="5" xfId="0" applyNumberFormat="1" applyFont="1" applyFill="1" applyBorder="1" applyProtection="1">
      <protection hidden="1"/>
    </xf>
    <xf numFmtId="0" fontId="31" fillId="18" borderId="5" xfId="0" quotePrefix="1" applyNumberFormat="1" applyFont="1" applyFill="1" applyBorder="1" applyAlignment="1" applyProtection="1">
      <protection hidden="1"/>
    </xf>
    <xf numFmtId="0" fontId="31" fillId="18" borderId="7" xfId="0" applyNumberFormat="1" applyFont="1" applyFill="1" applyBorder="1" applyProtection="1">
      <protection hidden="1"/>
    </xf>
    <xf numFmtId="0" fontId="31" fillId="18" borderId="0" xfId="0" quotePrefix="1" applyNumberFormat="1" applyFont="1" applyFill="1" applyBorder="1" applyAlignment="1" applyProtection="1">
      <protection hidden="1"/>
    </xf>
    <xf numFmtId="0" fontId="31" fillId="18" borderId="14" xfId="0" quotePrefix="1" applyNumberFormat="1" applyFont="1" applyFill="1" applyBorder="1" applyAlignment="1" applyProtection="1">
      <protection hidden="1"/>
    </xf>
    <xf numFmtId="0" fontId="46" fillId="18" borderId="0" xfId="0" applyNumberFormat="1" applyFont="1" applyFill="1" applyBorder="1" applyProtection="1">
      <protection hidden="1"/>
    </xf>
    <xf numFmtId="0" fontId="47" fillId="18" borderId="0" xfId="0" applyNumberFormat="1" applyFont="1" applyFill="1" applyBorder="1" applyProtection="1">
      <protection hidden="1"/>
    </xf>
    <xf numFmtId="174" fontId="33" fillId="18" borderId="0" xfId="0" applyNumberFormat="1" applyFont="1" applyFill="1" applyBorder="1" applyAlignment="1" applyProtection="1">
      <alignment horizontal="right"/>
      <protection hidden="1"/>
    </xf>
    <xf numFmtId="0" fontId="47" fillId="18" borderId="1" xfId="0" applyNumberFormat="1" applyFont="1" applyFill="1" applyBorder="1" applyProtection="1">
      <protection hidden="1"/>
    </xf>
    <xf numFmtId="0" fontId="47" fillId="18" borderId="2" xfId="0" applyNumberFormat="1" applyFont="1" applyFill="1" applyBorder="1" applyProtection="1">
      <protection hidden="1"/>
    </xf>
    <xf numFmtId="0" fontId="31" fillId="18" borderId="2" xfId="0" applyNumberFormat="1" applyFont="1" applyFill="1" applyBorder="1" applyAlignment="1" applyProtection="1">
      <protection hidden="1"/>
    </xf>
    <xf numFmtId="0" fontId="47" fillId="18" borderId="4" xfId="0" applyNumberFormat="1" applyFont="1" applyFill="1" applyBorder="1" applyProtection="1">
      <protection hidden="1"/>
    </xf>
    <xf numFmtId="0" fontId="47" fillId="18" borderId="5" xfId="0" applyNumberFormat="1" applyFont="1" applyFill="1" applyBorder="1" applyProtection="1">
      <protection hidden="1"/>
    </xf>
    <xf numFmtId="0" fontId="47" fillId="18" borderId="7" xfId="0" applyNumberFormat="1" applyFont="1" applyFill="1" applyBorder="1" applyProtection="1">
      <protection hidden="1"/>
    </xf>
    <xf numFmtId="0" fontId="47" fillId="18" borderId="13" xfId="0" applyNumberFormat="1" applyFont="1" applyFill="1" applyBorder="1" applyProtection="1">
      <protection hidden="1"/>
    </xf>
    <xf numFmtId="0" fontId="47" fillId="18" borderId="14" xfId="0" applyNumberFormat="1" applyFont="1" applyFill="1" applyBorder="1" applyProtection="1">
      <protection hidden="1"/>
    </xf>
    <xf numFmtId="0" fontId="46" fillId="18" borderId="4" xfId="0" applyNumberFormat="1" applyFont="1" applyFill="1" applyBorder="1" applyProtection="1">
      <protection hidden="1"/>
    </xf>
    <xf numFmtId="0" fontId="46" fillId="18" borderId="5" xfId="0" applyNumberFormat="1" applyFont="1" applyFill="1" applyBorder="1" applyProtection="1">
      <protection hidden="1"/>
    </xf>
    <xf numFmtId="0" fontId="46" fillId="18" borderId="13" xfId="0" applyNumberFormat="1" applyFont="1" applyFill="1" applyBorder="1" applyProtection="1">
      <protection hidden="1"/>
    </xf>
    <xf numFmtId="0" fontId="46" fillId="18" borderId="14" xfId="0" applyNumberFormat="1" applyFont="1" applyFill="1" applyBorder="1" applyProtection="1">
      <protection hidden="1"/>
    </xf>
    <xf numFmtId="0" fontId="46" fillId="18" borderId="7" xfId="0" applyNumberFormat="1" applyFont="1" applyFill="1" applyBorder="1" applyProtection="1">
      <protection hidden="1"/>
    </xf>
    <xf numFmtId="0" fontId="32" fillId="18" borderId="5" xfId="0" applyNumberFormat="1" applyFont="1" applyFill="1" applyBorder="1" applyProtection="1">
      <protection hidden="1"/>
    </xf>
    <xf numFmtId="0" fontId="44" fillId="18" borderId="5" xfId="0" applyNumberFormat="1" applyFont="1" applyFill="1" applyBorder="1" applyProtection="1">
      <protection hidden="1"/>
    </xf>
    <xf numFmtId="174" fontId="32" fillId="18" borderId="5" xfId="0" applyNumberFormat="1" applyFont="1" applyFill="1" applyBorder="1" applyAlignment="1" applyProtection="1">
      <alignment horizontal="right"/>
      <protection hidden="1"/>
    </xf>
    <xf numFmtId="174" fontId="32" fillId="18" borderId="5" xfId="0" applyNumberFormat="1" applyFont="1" applyFill="1" applyBorder="1" applyProtection="1">
      <protection hidden="1"/>
    </xf>
    <xf numFmtId="10" fontId="31" fillId="18" borderId="0" xfId="0" applyNumberFormat="1" applyFont="1" applyFill="1" applyProtection="1">
      <protection hidden="1"/>
    </xf>
    <xf numFmtId="0" fontId="31" fillId="18" borderId="0" xfId="0" applyNumberFormat="1" applyFont="1" applyFill="1" applyProtection="1">
      <protection hidden="1"/>
    </xf>
    <xf numFmtId="0" fontId="31" fillId="18" borderId="5" xfId="0" applyFont="1" applyFill="1" applyBorder="1" applyProtection="1">
      <protection hidden="1"/>
    </xf>
    <xf numFmtId="0" fontId="31" fillId="18" borderId="7" xfId="0" applyFont="1" applyFill="1" applyBorder="1" applyAlignment="1" applyProtection="1">
      <alignment horizontal="right"/>
      <protection hidden="1"/>
    </xf>
    <xf numFmtId="3" fontId="31" fillId="3" borderId="0" xfId="0" applyNumberFormat="1" applyFont="1" applyFill="1" applyBorder="1" applyProtection="1">
      <protection hidden="1"/>
    </xf>
    <xf numFmtId="0" fontId="31" fillId="18" borderId="14" xfId="0" applyFont="1" applyFill="1" applyBorder="1" applyProtection="1">
      <protection hidden="1"/>
    </xf>
    <xf numFmtId="0" fontId="31" fillId="18" borderId="85" xfId="0" applyFont="1" applyFill="1" applyBorder="1" applyProtection="1">
      <protection hidden="1"/>
    </xf>
    <xf numFmtId="3" fontId="45" fillId="2" borderId="0" xfId="0" applyNumberFormat="1" applyFont="1" applyFill="1" applyBorder="1" applyProtection="1">
      <protection hidden="1"/>
    </xf>
    <xf numFmtId="0" fontId="31" fillId="18" borderId="85" xfId="0" applyFont="1" applyFill="1" applyBorder="1" applyAlignment="1" applyProtection="1">
      <protection hidden="1"/>
    </xf>
    <xf numFmtId="0" fontId="31" fillId="18" borderId="13" xfId="0" applyFont="1" applyFill="1" applyBorder="1" applyAlignment="1" applyProtection="1">
      <alignment horizontal="right"/>
      <protection hidden="1"/>
    </xf>
    <xf numFmtId="0" fontId="31" fillId="18" borderId="2" xfId="0" applyFont="1" applyFill="1" applyBorder="1" applyProtection="1">
      <protection hidden="1"/>
    </xf>
    <xf numFmtId="3" fontId="31" fillId="18" borderId="8" xfId="0" applyNumberFormat="1" applyFont="1" applyFill="1" applyBorder="1" applyProtection="1">
      <protection hidden="1"/>
    </xf>
    <xf numFmtId="0" fontId="31" fillId="3" borderId="0" xfId="0" applyFont="1" applyFill="1" applyBorder="1" applyProtection="1">
      <protection hidden="1"/>
    </xf>
    <xf numFmtId="0" fontId="45" fillId="2" borderId="0" xfId="0" applyFont="1" applyFill="1" applyBorder="1" applyProtection="1">
      <protection hidden="1"/>
    </xf>
    <xf numFmtId="0" fontId="31" fillId="18" borderId="29" xfId="0" applyFont="1" applyFill="1" applyBorder="1" applyProtection="1">
      <protection hidden="1"/>
    </xf>
    <xf numFmtId="0" fontId="31" fillId="18" borderId="29" xfId="0" applyFont="1" applyFill="1" applyBorder="1" applyAlignment="1" applyProtection="1">
      <protection hidden="1"/>
    </xf>
    <xf numFmtId="0" fontId="33" fillId="18" borderId="1" xfId="0" applyFont="1" applyFill="1" applyBorder="1" applyProtection="1">
      <protection hidden="1"/>
    </xf>
    <xf numFmtId="0" fontId="33" fillId="18" borderId="2" xfId="0" applyFont="1" applyFill="1" applyBorder="1" applyProtection="1">
      <protection hidden="1"/>
    </xf>
    <xf numFmtId="174" fontId="31" fillId="18" borderId="0" xfId="0" quotePrefix="1" applyNumberFormat="1" applyFont="1" applyFill="1" applyBorder="1" applyAlignment="1" applyProtection="1">
      <protection hidden="1"/>
    </xf>
    <xf numFmtId="174" fontId="31" fillId="18" borderId="0" xfId="0" applyNumberFormat="1" applyFont="1" applyFill="1" applyProtection="1">
      <protection hidden="1"/>
    </xf>
    <xf numFmtId="3" fontId="31" fillId="18" borderId="0" xfId="0" applyNumberFormat="1" applyFont="1" applyFill="1" applyBorder="1" applyProtection="1">
      <protection hidden="1"/>
    </xf>
    <xf numFmtId="0" fontId="26" fillId="18" borderId="0" xfId="0" applyFont="1" applyFill="1" applyBorder="1" applyAlignment="1" applyProtection="1">
      <protection hidden="1"/>
    </xf>
    <xf numFmtId="0" fontId="31" fillId="18" borderId="4" xfId="0" applyFont="1" applyFill="1" applyBorder="1" applyProtection="1">
      <protection hidden="1"/>
    </xf>
    <xf numFmtId="0" fontId="31" fillId="18" borderId="13" xfId="0" applyFont="1" applyFill="1" applyBorder="1" applyProtection="1">
      <protection hidden="1"/>
    </xf>
    <xf numFmtId="0" fontId="47" fillId="18" borderId="7" xfId="0" applyFont="1" applyFill="1" applyBorder="1" applyProtection="1">
      <protection hidden="1"/>
    </xf>
    <xf numFmtId="0" fontId="47" fillId="18" borderId="0" xfId="0" applyFont="1" applyFill="1" applyBorder="1" applyProtection="1">
      <protection hidden="1"/>
    </xf>
    <xf numFmtId="0" fontId="33" fillId="18" borderId="30" xfId="0" applyFont="1" applyFill="1" applyBorder="1" applyProtection="1">
      <protection hidden="1"/>
    </xf>
    <xf numFmtId="0" fontId="33" fillId="18" borderId="31" xfId="0" applyFont="1" applyFill="1" applyBorder="1" applyProtection="1">
      <protection hidden="1"/>
    </xf>
    <xf numFmtId="0" fontId="31" fillId="18" borderId="31" xfId="0" applyFont="1" applyFill="1" applyBorder="1" applyAlignment="1" applyProtection="1">
      <protection hidden="1"/>
    </xf>
    <xf numFmtId="0" fontId="33" fillId="18" borderId="0" xfId="0" applyFont="1" applyFill="1" applyProtection="1">
      <protection hidden="1"/>
    </xf>
    <xf numFmtId="0" fontId="31" fillId="23" borderId="1" xfId="0" applyFont="1" applyFill="1" applyBorder="1" applyProtection="1">
      <protection locked="0"/>
    </xf>
    <xf numFmtId="0" fontId="31" fillId="23" borderId="2" xfId="0" applyFont="1" applyFill="1" applyBorder="1" applyProtection="1">
      <protection locked="0"/>
    </xf>
    <xf numFmtId="0" fontId="31" fillId="18" borderId="13" xfId="0" applyFont="1" applyFill="1" applyBorder="1" applyAlignment="1" applyProtection="1">
      <alignment horizontal="left"/>
      <protection hidden="1"/>
    </xf>
    <xf numFmtId="0" fontId="31" fillId="18" borderId="4" xfId="0" applyFont="1" applyFill="1" applyBorder="1" applyAlignment="1" applyProtection="1">
      <alignment horizontal="left" indent="1"/>
      <protection hidden="1"/>
    </xf>
    <xf numFmtId="0" fontId="31" fillId="18" borderId="7" xfId="0" applyFont="1" applyFill="1" applyBorder="1" applyAlignment="1" applyProtection="1">
      <alignment horizontal="left" indent="2"/>
      <protection hidden="1"/>
    </xf>
    <xf numFmtId="0" fontId="47" fillId="18" borderId="7" xfId="0" applyFont="1" applyFill="1" applyBorder="1" applyAlignment="1" applyProtection="1">
      <alignment horizontal="left" indent="2"/>
      <protection hidden="1"/>
    </xf>
    <xf numFmtId="0" fontId="31" fillId="18" borderId="13" xfId="0" applyFont="1" applyFill="1" applyBorder="1" applyAlignment="1" applyProtection="1">
      <alignment horizontal="left" indent="1"/>
      <protection hidden="1"/>
    </xf>
    <xf numFmtId="0" fontId="33" fillId="18" borderId="0" xfId="0" applyFont="1" applyFill="1" applyAlignment="1" applyProtection="1">
      <alignment horizontal="center"/>
      <protection hidden="1"/>
    </xf>
    <xf numFmtId="0" fontId="31" fillId="18" borderId="7" xfId="0" applyFont="1" applyFill="1" applyBorder="1" applyAlignment="1" applyProtection="1">
      <alignment horizontal="left" indent="1"/>
      <protection hidden="1"/>
    </xf>
    <xf numFmtId="0" fontId="47" fillId="18" borderId="7" xfId="0" applyFont="1" applyFill="1" applyBorder="1" applyAlignment="1" applyProtection="1">
      <alignment horizontal="left" indent="1"/>
      <protection hidden="1"/>
    </xf>
    <xf numFmtId="0" fontId="31" fillId="18" borderId="16" xfId="0" applyFont="1" applyFill="1" applyBorder="1" applyProtection="1">
      <protection hidden="1"/>
    </xf>
    <xf numFmtId="0" fontId="42" fillId="18" borderId="0" xfId="0" applyFont="1" applyFill="1" applyProtection="1">
      <protection hidden="1"/>
    </xf>
    <xf numFmtId="0" fontId="31" fillId="18" borderId="5" xfId="0" applyFont="1" applyFill="1" applyBorder="1" applyAlignment="1" applyProtection="1">
      <alignment horizontal="right"/>
      <protection hidden="1"/>
    </xf>
    <xf numFmtId="0" fontId="31" fillId="7" borderId="0" xfId="0" applyFont="1" applyFill="1" applyBorder="1" applyAlignment="1" applyProtection="1">
      <alignment horizontal="left" indent="1"/>
      <protection hidden="1"/>
    </xf>
    <xf numFmtId="3" fontId="31" fillId="7" borderId="8" xfId="0" applyNumberFormat="1" applyFont="1" applyFill="1" applyBorder="1" applyProtection="1">
      <protection hidden="1"/>
    </xf>
    <xf numFmtId="0" fontId="31" fillId="18" borderId="7" xfId="0" quotePrefix="1" applyFont="1" applyFill="1" applyBorder="1" applyProtection="1">
      <protection hidden="1"/>
    </xf>
    <xf numFmtId="0" fontId="31" fillId="18" borderId="4" xfId="0" applyFont="1" applyFill="1" applyBorder="1" applyAlignment="1" applyProtection="1">
      <alignment horizontal="left" vertical="center" indent="1"/>
      <protection hidden="1"/>
    </xf>
    <xf numFmtId="0" fontId="31" fillId="18" borderId="6" xfId="0" applyFont="1" applyFill="1" applyBorder="1" applyAlignment="1" applyProtection="1">
      <alignment vertical="center"/>
      <protection hidden="1"/>
    </xf>
    <xf numFmtId="0" fontId="31" fillId="18" borderId="7" xfId="0" applyFont="1" applyFill="1" applyBorder="1" applyAlignment="1" applyProtection="1">
      <alignment horizontal="left" vertical="center" indent="1"/>
      <protection hidden="1"/>
    </xf>
    <xf numFmtId="3" fontId="31" fillId="18" borderId="8" xfId="0" applyNumberFormat="1" applyFont="1" applyFill="1" applyBorder="1" applyAlignment="1" applyProtection="1">
      <alignment vertical="center"/>
      <protection hidden="1"/>
    </xf>
    <xf numFmtId="0" fontId="31" fillId="18" borderId="8" xfId="0" applyFont="1" applyFill="1" applyBorder="1" applyAlignment="1" applyProtection="1">
      <alignment vertical="center"/>
      <protection hidden="1"/>
    </xf>
    <xf numFmtId="0" fontId="31" fillId="18" borderId="13" xfId="0" quotePrefix="1" applyFont="1" applyFill="1" applyBorder="1" applyAlignment="1" applyProtection="1">
      <alignment horizontal="left" vertical="center" indent="1"/>
      <protection hidden="1"/>
    </xf>
    <xf numFmtId="0" fontId="31" fillId="18" borderId="15" xfId="0" applyFont="1" applyFill="1" applyBorder="1" applyAlignment="1" applyProtection="1">
      <alignment vertical="center"/>
      <protection hidden="1"/>
    </xf>
    <xf numFmtId="0" fontId="31" fillId="18" borderId="7" xfId="0" applyFont="1" applyFill="1" applyBorder="1" applyAlignment="1" applyProtection="1">
      <alignment vertical="center"/>
      <protection hidden="1"/>
    </xf>
    <xf numFmtId="0" fontId="31" fillId="18" borderId="13" xfId="0" applyFont="1" applyFill="1" applyBorder="1" applyAlignment="1" applyProtection="1">
      <alignment horizontal="left" vertical="center" indent="1"/>
      <protection hidden="1"/>
    </xf>
    <xf numFmtId="3" fontId="31" fillId="18" borderId="6" xfId="0" applyNumberFormat="1" applyFont="1" applyFill="1" applyBorder="1" applyProtection="1">
      <protection hidden="1"/>
    </xf>
    <xf numFmtId="0" fontId="27" fillId="18" borderId="7" xfId="0" applyFont="1" applyFill="1" applyBorder="1" applyProtection="1">
      <protection hidden="1"/>
    </xf>
    <xf numFmtId="3" fontId="31" fillId="18" borderId="3" xfId="0" applyNumberFormat="1" applyFont="1" applyFill="1" applyBorder="1" applyProtection="1">
      <protection hidden="1"/>
    </xf>
    <xf numFmtId="3" fontId="33" fillId="18" borderId="3" xfId="0" applyNumberFormat="1" applyFont="1" applyFill="1" applyBorder="1" applyProtection="1">
      <protection hidden="1"/>
    </xf>
    <xf numFmtId="0" fontId="47" fillId="18" borderId="0" xfId="0" applyFont="1" applyFill="1" applyProtection="1">
      <protection hidden="1"/>
    </xf>
    <xf numFmtId="0" fontId="47" fillId="18" borderId="4" xfId="0" applyFont="1" applyFill="1" applyBorder="1" applyProtection="1">
      <protection hidden="1"/>
    </xf>
    <xf numFmtId="0" fontId="47" fillId="18" borderId="5" xfId="0" applyFont="1" applyFill="1" applyBorder="1" applyProtection="1">
      <protection hidden="1"/>
    </xf>
    <xf numFmtId="3" fontId="47" fillId="18" borderId="6" xfId="0" applyNumberFormat="1" applyFont="1" applyFill="1" applyBorder="1" applyProtection="1">
      <protection hidden="1"/>
    </xf>
    <xf numFmtId="0" fontId="47" fillId="18" borderId="0" xfId="0" applyFont="1" applyFill="1" applyAlignment="1" applyProtection="1">
      <alignment horizontal="center"/>
      <protection hidden="1"/>
    </xf>
    <xf numFmtId="3" fontId="47" fillId="18" borderId="8" xfId="0" applyNumberFormat="1" applyFont="1" applyFill="1" applyBorder="1" applyProtection="1">
      <protection hidden="1"/>
    </xf>
    <xf numFmtId="0" fontId="47" fillId="18" borderId="7" xfId="0" applyFont="1" applyFill="1" applyBorder="1" applyAlignment="1" applyProtection="1">
      <alignment horizontal="left" vertical="center"/>
      <protection hidden="1"/>
    </xf>
    <xf numFmtId="3" fontId="47" fillId="18" borderId="8" xfId="0" applyNumberFormat="1" applyFont="1" applyFill="1" applyBorder="1" applyAlignment="1" applyProtection="1">
      <alignment vertical="center"/>
      <protection hidden="1"/>
    </xf>
    <xf numFmtId="0" fontId="47" fillId="18" borderId="13" xfId="0" applyFont="1" applyFill="1" applyBorder="1" applyAlignment="1" applyProtection="1">
      <alignment horizontal="left" vertical="center"/>
      <protection hidden="1"/>
    </xf>
    <xf numFmtId="0" fontId="47" fillId="18" borderId="14" xfId="0" applyFont="1" applyFill="1" applyBorder="1" applyProtection="1">
      <protection hidden="1"/>
    </xf>
    <xf numFmtId="3" fontId="47" fillId="18" borderId="15" xfId="0" applyNumberFormat="1" applyFont="1" applyFill="1" applyBorder="1" applyAlignment="1" applyProtection="1">
      <alignment vertical="center"/>
      <protection hidden="1"/>
    </xf>
    <xf numFmtId="0" fontId="46" fillId="2" borderId="1" xfId="0" applyFont="1" applyFill="1" applyBorder="1" applyProtection="1">
      <protection hidden="1"/>
    </xf>
    <xf numFmtId="0" fontId="46" fillId="2" borderId="2" xfId="0" applyFont="1" applyFill="1" applyBorder="1" applyProtection="1">
      <protection hidden="1"/>
    </xf>
    <xf numFmtId="3" fontId="46" fillId="2" borderId="3" xfId="0" applyNumberFormat="1" applyFont="1" applyFill="1" applyBorder="1" applyProtection="1">
      <protection hidden="1"/>
    </xf>
    <xf numFmtId="3" fontId="33" fillId="18" borderId="2" xfId="0" applyNumberFormat="1" applyFont="1" applyFill="1" applyBorder="1" applyProtection="1">
      <protection hidden="1"/>
    </xf>
    <xf numFmtId="0" fontId="33" fillId="18" borderId="2" xfId="0" quotePrefix="1" applyFont="1" applyFill="1" applyBorder="1" applyProtection="1">
      <protection hidden="1"/>
    </xf>
    <xf numFmtId="3" fontId="31" fillId="18" borderId="15" xfId="0" applyNumberFormat="1" applyFont="1" applyFill="1" applyBorder="1" applyAlignment="1" applyProtection="1">
      <alignment vertical="center"/>
      <protection hidden="1"/>
    </xf>
    <xf numFmtId="3" fontId="31" fillId="18" borderId="6" xfId="0" applyNumberFormat="1" applyFont="1" applyFill="1" applyBorder="1" applyAlignment="1" applyProtection="1">
      <alignment vertical="center"/>
      <protection hidden="1"/>
    </xf>
    <xf numFmtId="0" fontId="31" fillId="18" borderId="28" xfId="0" applyFont="1" applyFill="1" applyBorder="1" applyAlignment="1" applyProtection="1">
      <alignment horizontal="left" indent="2"/>
      <protection hidden="1"/>
    </xf>
    <xf numFmtId="3" fontId="31" fillId="18" borderId="24" xfId="0" applyNumberFormat="1" applyFont="1" applyFill="1" applyBorder="1" applyProtection="1">
      <protection hidden="1"/>
    </xf>
    <xf numFmtId="0" fontId="31" fillId="18" borderId="13" xfId="0" applyFont="1" applyFill="1" applyBorder="1" applyAlignment="1" applyProtection="1">
      <alignment horizontal="left" indent="2"/>
      <protection hidden="1"/>
    </xf>
    <xf numFmtId="0" fontId="31" fillId="0" borderId="5" xfId="0" applyFont="1" applyFill="1" applyBorder="1" applyProtection="1">
      <protection hidden="1"/>
    </xf>
    <xf numFmtId="3" fontId="31" fillId="0" borderId="5" xfId="0" applyNumberFormat="1" applyFont="1" applyFill="1" applyBorder="1" applyProtection="1">
      <protection hidden="1"/>
    </xf>
    <xf numFmtId="0" fontId="47" fillId="0" borderId="4" xfId="0" applyFont="1" applyFill="1" applyBorder="1" applyAlignment="1" applyProtection="1">
      <alignment horizontal="left" vertical="center"/>
      <protection hidden="1"/>
    </xf>
    <xf numFmtId="0" fontId="47" fillId="0" borderId="5" xfId="0" applyFont="1" applyFill="1" applyBorder="1" applyProtection="1">
      <protection hidden="1"/>
    </xf>
    <xf numFmtId="3" fontId="47" fillId="0" borderId="6" xfId="0" applyNumberFormat="1" applyFont="1" applyFill="1" applyBorder="1" applyAlignment="1" applyProtection="1">
      <alignment vertical="center"/>
      <protection hidden="1"/>
    </xf>
    <xf numFmtId="0" fontId="31" fillId="18" borderId="5" xfId="0" applyFont="1" applyFill="1" applyBorder="1" applyAlignment="1" applyProtection="1">
      <alignment vertical="center"/>
      <protection hidden="1"/>
    </xf>
    <xf numFmtId="0" fontId="47" fillId="0" borderId="7" xfId="0" applyFont="1" applyFill="1" applyBorder="1" applyAlignment="1" applyProtection="1">
      <alignment horizontal="left" vertical="center"/>
      <protection hidden="1"/>
    </xf>
    <xf numFmtId="0" fontId="47" fillId="0" borderId="0" xfId="0" applyFont="1" applyFill="1" applyBorder="1" applyProtection="1">
      <protection hidden="1"/>
    </xf>
    <xf numFmtId="3" fontId="47" fillId="0" borderId="8" xfId="0" applyNumberFormat="1" applyFont="1" applyFill="1" applyBorder="1" applyAlignment="1" applyProtection="1">
      <alignment vertical="center"/>
      <protection hidden="1"/>
    </xf>
    <xf numFmtId="0" fontId="47" fillId="0" borderId="13" xfId="0" applyFont="1" applyFill="1" applyBorder="1" applyAlignment="1" applyProtection="1">
      <alignment horizontal="left" vertical="center"/>
      <protection hidden="1"/>
    </xf>
    <xf numFmtId="0" fontId="47" fillId="0" borderId="14" xfId="0" applyFont="1" applyFill="1" applyBorder="1" applyProtection="1">
      <protection hidden="1"/>
    </xf>
    <xf numFmtId="0" fontId="31" fillId="18" borderId="14" xfId="0" applyFont="1" applyFill="1" applyBorder="1" applyAlignment="1" applyProtection="1">
      <alignment vertical="center"/>
      <protection hidden="1"/>
    </xf>
    <xf numFmtId="0" fontId="46" fillId="2" borderId="13" xfId="0" applyFont="1" applyFill="1" applyBorder="1" applyProtection="1">
      <protection hidden="1"/>
    </xf>
    <xf numFmtId="0" fontId="46" fillId="2" borderId="14" xfId="0" applyFont="1" applyFill="1" applyBorder="1" applyProtection="1">
      <protection hidden="1"/>
    </xf>
    <xf numFmtId="3" fontId="47" fillId="0" borderId="5" xfId="0" applyNumberFormat="1" applyFont="1" applyFill="1" applyBorder="1" applyProtection="1">
      <protection hidden="1"/>
    </xf>
    <xf numFmtId="0" fontId="31" fillId="0" borderId="0" xfId="0" applyFont="1" applyFill="1" applyProtection="1">
      <protection hidden="1"/>
    </xf>
    <xf numFmtId="0" fontId="44" fillId="0" borderId="0" xfId="0" applyFont="1" applyFill="1" applyProtection="1">
      <protection hidden="1"/>
    </xf>
    <xf numFmtId="0" fontId="33" fillId="0" borderId="14" xfId="0" applyFont="1" applyFill="1" applyBorder="1" applyProtection="1">
      <protection hidden="1"/>
    </xf>
    <xf numFmtId="0" fontId="31" fillId="0" borderId="14" xfId="0" applyFont="1" applyFill="1" applyBorder="1" applyProtection="1">
      <protection hidden="1"/>
    </xf>
    <xf numFmtId="0" fontId="31" fillId="0" borderId="1" xfId="0" applyFont="1" applyFill="1" applyBorder="1" applyAlignment="1" applyProtection="1">
      <alignment horizontal="left"/>
      <protection hidden="1"/>
    </xf>
    <xf numFmtId="0" fontId="31" fillId="0" borderId="2" xfId="0" applyFont="1" applyFill="1" applyBorder="1" applyAlignment="1" applyProtection="1">
      <alignment horizontal="left" indent="1"/>
      <protection hidden="1"/>
    </xf>
    <xf numFmtId="0" fontId="31" fillId="0" borderId="1" xfId="0" applyFont="1" applyFill="1" applyBorder="1" applyProtection="1">
      <protection hidden="1"/>
    </xf>
    <xf numFmtId="0" fontId="31" fillId="0" borderId="2" xfId="0" applyFont="1" applyFill="1" applyBorder="1" applyProtection="1">
      <protection hidden="1"/>
    </xf>
    <xf numFmtId="0" fontId="53" fillId="18" borderId="0" xfId="0" applyFont="1" applyFill="1" applyProtection="1">
      <protection hidden="1"/>
    </xf>
    <xf numFmtId="0" fontId="44" fillId="18" borderId="0" xfId="0" applyFont="1" applyFill="1" applyProtection="1">
      <protection hidden="1"/>
    </xf>
    <xf numFmtId="0" fontId="27" fillId="18" borderId="0" xfId="0" applyNumberFormat="1" applyFont="1" applyFill="1" applyBorder="1" applyProtection="1">
      <protection hidden="1"/>
    </xf>
    <xf numFmtId="0" fontId="26" fillId="18" borderId="14" xfId="0" applyFont="1" applyFill="1" applyBorder="1" applyProtection="1">
      <protection hidden="1"/>
    </xf>
    <xf numFmtId="0" fontId="27" fillId="18" borderId="8" xfId="0" applyNumberFormat="1" applyFont="1" applyFill="1" applyBorder="1" applyProtection="1">
      <protection hidden="1"/>
    </xf>
    <xf numFmtId="0" fontId="27" fillId="18" borderId="8" xfId="0" applyNumberFormat="1" applyFont="1" applyFill="1" applyBorder="1" applyAlignment="1" applyProtection="1">
      <alignment horizontal="right"/>
      <protection hidden="1"/>
    </xf>
    <xf numFmtId="0" fontId="31" fillId="23" borderId="32" xfId="0" applyFont="1" applyFill="1" applyBorder="1" applyAlignment="1" applyProtection="1">
      <alignment horizontal="left" vertical="center"/>
      <protection locked="0"/>
    </xf>
    <xf numFmtId="0" fontId="31" fillId="23" borderId="33" xfId="0" applyFont="1" applyFill="1" applyBorder="1" applyAlignment="1" applyProtection="1">
      <alignment horizontal="left" vertical="center"/>
      <protection locked="0"/>
    </xf>
    <xf numFmtId="0" fontId="31" fillId="18" borderId="35" xfId="0" applyFont="1" applyFill="1" applyBorder="1" applyAlignment="1" applyProtection="1">
      <alignment horizontal="left" vertical="center"/>
      <protection hidden="1"/>
    </xf>
    <xf numFmtId="0" fontId="32" fillId="18" borderId="7" xfId="0" applyFont="1" applyFill="1" applyBorder="1" applyAlignment="1" applyProtection="1">
      <alignment horizontal="center"/>
      <protection hidden="1"/>
    </xf>
    <xf numFmtId="0" fontId="31" fillId="23" borderId="36" xfId="0" applyFont="1" applyFill="1" applyBorder="1" applyAlignment="1" applyProtection="1">
      <alignment horizontal="left" vertical="center"/>
      <protection locked="0"/>
    </xf>
    <xf numFmtId="0" fontId="31" fillId="23" borderId="35" xfId="0" applyFont="1" applyFill="1" applyBorder="1" applyAlignment="1" applyProtection="1">
      <alignment horizontal="left" vertical="center"/>
      <protection locked="0"/>
    </xf>
    <xf numFmtId="0" fontId="31" fillId="23" borderId="25" xfId="0" applyFont="1" applyFill="1" applyBorder="1" applyAlignment="1" applyProtection="1">
      <alignment horizontal="left" vertical="center"/>
      <protection locked="0"/>
    </xf>
    <xf numFmtId="0" fontId="31" fillId="23" borderId="13" xfId="0" applyFont="1" applyFill="1" applyBorder="1" applyAlignment="1" applyProtection="1">
      <alignment horizontal="left" vertical="center"/>
      <protection locked="0"/>
    </xf>
    <xf numFmtId="0" fontId="31" fillId="23" borderId="14" xfId="0" applyFont="1" applyFill="1" applyBorder="1" applyAlignment="1" applyProtection="1">
      <alignment horizontal="left" vertical="center"/>
      <protection locked="0"/>
    </xf>
    <xf numFmtId="0" fontId="26" fillId="18" borderId="5" xfId="0" applyFont="1" applyFill="1" applyBorder="1" applyProtection="1">
      <protection hidden="1"/>
    </xf>
    <xf numFmtId="0" fontId="31" fillId="0" borderId="0" xfId="0" applyNumberFormat="1" applyFont="1" applyFill="1"/>
    <xf numFmtId="164" fontId="53" fillId="0" borderId="0" xfId="0" applyNumberFormat="1" applyFont="1" applyFill="1"/>
    <xf numFmtId="164" fontId="53" fillId="18" borderId="0" xfId="0" applyNumberFormat="1" applyFont="1" applyFill="1"/>
    <xf numFmtId="164" fontId="53" fillId="18" borderId="0" xfId="0" quotePrefix="1" applyNumberFormat="1" applyFont="1" applyFill="1" applyAlignment="1" applyProtection="1">
      <alignment horizontal="right"/>
      <protection hidden="1"/>
    </xf>
    <xf numFmtId="0" fontId="31" fillId="0" borderId="0" xfId="0" applyNumberFormat="1" applyFont="1" applyAlignment="1">
      <alignment horizontal="right"/>
    </xf>
    <xf numFmtId="0" fontId="31" fillId="0" borderId="0" xfId="0" applyNumberFormat="1" applyFont="1"/>
    <xf numFmtId="164" fontId="53" fillId="0" borderId="0" xfId="0" applyNumberFormat="1" applyFont="1"/>
    <xf numFmtId="168" fontId="42" fillId="18" borderId="12" xfId="0" applyNumberFormat="1" applyFont="1" applyFill="1" applyBorder="1" applyAlignment="1" applyProtection="1">
      <alignment horizontal="right"/>
      <protection hidden="1"/>
    </xf>
    <xf numFmtId="164" fontId="53" fillId="0" borderId="0" xfId="0" applyNumberFormat="1" applyFont="1" applyAlignment="1">
      <alignment horizontal="right"/>
    </xf>
    <xf numFmtId="0" fontId="54" fillId="13" borderId="1" xfId="0" applyFont="1" applyFill="1" applyBorder="1" applyAlignment="1" applyProtection="1">
      <alignment horizontal="center"/>
      <protection hidden="1"/>
    </xf>
    <xf numFmtId="0" fontId="31" fillId="18" borderId="12" xfId="0" applyFont="1" applyFill="1" applyBorder="1" applyAlignment="1" applyProtection="1">
      <alignment horizontal="right"/>
      <protection hidden="1"/>
    </xf>
    <xf numFmtId="0" fontId="31" fillId="18" borderId="12" xfId="0" quotePrefix="1" applyFont="1" applyFill="1" applyBorder="1" applyAlignment="1" applyProtection="1">
      <alignment horizontal="right"/>
      <protection hidden="1"/>
    </xf>
    <xf numFmtId="0" fontId="39" fillId="0" borderId="0" xfId="0" applyNumberFormat="1" applyFont="1"/>
    <xf numFmtId="0" fontId="33" fillId="23" borderId="12" xfId="0" applyFont="1" applyFill="1" applyBorder="1" applyAlignment="1" applyProtection="1">
      <alignment horizontal="center"/>
      <protection locked="0"/>
    </xf>
    <xf numFmtId="0" fontId="33" fillId="12" borderId="12" xfId="0" applyFont="1" applyFill="1" applyBorder="1" applyProtection="1">
      <protection hidden="1"/>
    </xf>
    <xf numFmtId="0" fontId="41" fillId="20" borderId="9" xfId="0" applyFont="1" applyFill="1" applyBorder="1" applyProtection="1">
      <protection hidden="1"/>
    </xf>
    <xf numFmtId="4" fontId="41" fillId="0" borderId="9" xfId="0" applyNumberFormat="1" applyFont="1" applyBorder="1" applyProtection="1">
      <protection hidden="1"/>
    </xf>
    <xf numFmtId="4" fontId="41" fillId="18" borderId="9" xfId="0" applyNumberFormat="1" applyFont="1" applyFill="1" applyBorder="1" applyProtection="1">
      <protection hidden="1"/>
    </xf>
    <xf numFmtId="0" fontId="39" fillId="18" borderId="9" xfId="0" applyNumberFormat="1" applyFont="1" applyFill="1" applyBorder="1"/>
    <xf numFmtId="0" fontId="31" fillId="23" borderId="16" xfId="0" applyFont="1" applyFill="1" applyBorder="1" applyProtection="1">
      <protection locked="0"/>
    </xf>
    <xf numFmtId="0" fontId="41" fillId="20" borderId="16" xfId="0" applyFont="1" applyFill="1" applyBorder="1" applyProtection="1">
      <protection hidden="1"/>
    </xf>
    <xf numFmtId="4" fontId="31" fillId="23" borderId="16" xfId="0" applyNumberFormat="1" applyFont="1" applyFill="1" applyBorder="1" applyProtection="1">
      <protection locked="0"/>
    </xf>
    <xf numFmtId="0" fontId="39" fillId="18" borderId="17" xfId="0" applyNumberFormat="1" applyFont="1" applyFill="1" applyBorder="1"/>
    <xf numFmtId="0" fontId="41" fillId="18" borderId="12" xfId="0" applyFont="1" applyFill="1" applyBorder="1" applyProtection="1">
      <protection hidden="1"/>
    </xf>
    <xf numFmtId="4" fontId="41" fillId="18" borderId="12" xfId="0" applyNumberFormat="1" applyFont="1" applyFill="1" applyBorder="1" applyProtection="1">
      <protection hidden="1"/>
    </xf>
    <xf numFmtId="0" fontId="40" fillId="0" borderId="0" xfId="0" applyFont="1"/>
    <xf numFmtId="0" fontId="25" fillId="18" borderId="8" xfId="0" applyFont="1" applyFill="1" applyBorder="1" applyAlignment="1" applyProtection="1">
      <alignment vertical="center"/>
      <protection hidden="1"/>
    </xf>
    <xf numFmtId="3" fontId="31" fillId="18" borderId="0" xfId="0" applyNumberFormat="1" applyFont="1" applyFill="1" applyBorder="1" applyAlignment="1" applyProtection="1">
      <alignment horizontal="right" vertical="center"/>
      <protection hidden="1"/>
    </xf>
    <xf numFmtId="0" fontId="25" fillId="2" borderId="0" xfId="0" applyFont="1" applyFill="1" applyProtection="1">
      <protection hidden="1"/>
    </xf>
    <xf numFmtId="4" fontId="31" fillId="18" borderId="0" xfId="0" applyNumberFormat="1" applyFont="1" applyFill="1" applyBorder="1" applyAlignment="1" applyProtection="1">
      <alignment horizontal="right" vertical="center"/>
      <protection hidden="1"/>
    </xf>
    <xf numFmtId="10" fontId="31" fillId="18" borderId="0" xfId="0" applyNumberFormat="1" applyFont="1" applyFill="1" applyBorder="1" applyAlignment="1" applyProtection="1">
      <alignment horizontal="right" vertical="center"/>
      <protection hidden="1"/>
    </xf>
    <xf numFmtId="174" fontId="31" fillId="18" borderId="0" xfId="0" applyNumberFormat="1" applyFont="1" applyFill="1" applyBorder="1" applyAlignment="1" applyProtection="1">
      <alignment horizontal="right" vertical="center"/>
      <protection hidden="1"/>
    </xf>
    <xf numFmtId="0" fontId="55" fillId="2" borderId="0" xfId="0" applyFont="1" applyFill="1" applyProtection="1">
      <protection hidden="1"/>
    </xf>
    <xf numFmtId="164" fontId="55" fillId="2" borderId="0" xfId="0" applyNumberFormat="1" applyFont="1" applyFill="1" applyBorder="1" applyProtection="1">
      <protection hidden="1"/>
    </xf>
    <xf numFmtId="0" fontId="40" fillId="2" borderId="0" xfId="0" applyFont="1" applyFill="1" applyProtection="1">
      <protection hidden="1"/>
    </xf>
    <xf numFmtId="0" fontId="33" fillId="2" borderId="0" xfId="0" applyFont="1" applyFill="1" applyAlignment="1" applyProtection="1">
      <alignment vertical="center"/>
      <protection hidden="1"/>
    </xf>
    <xf numFmtId="0" fontId="33" fillId="2" borderId="0" xfId="0" applyFont="1" applyFill="1" applyAlignment="1" applyProtection="1">
      <alignment horizontal="right" vertical="center" indent="1"/>
      <protection hidden="1"/>
    </xf>
    <xf numFmtId="0" fontId="33" fillId="2" borderId="0" xfId="0" applyNumberFormat="1" applyFont="1" applyFill="1" applyAlignment="1" applyProtection="1">
      <alignment vertical="center"/>
      <protection hidden="1"/>
    </xf>
    <xf numFmtId="164" fontId="56" fillId="2" borderId="0" xfId="0" applyNumberFormat="1" applyFont="1" applyFill="1" applyAlignment="1" applyProtection="1">
      <alignment horizontal="right" vertical="center" indent="1"/>
      <protection hidden="1"/>
    </xf>
    <xf numFmtId="164" fontId="56" fillId="2" borderId="0" xfId="0" applyNumberFormat="1" applyFont="1" applyFill="1" applyAlignment="1" applyProtection="1">
      <alignment horizontal="right" vertical="center"/>
      <protection hidden="1"/>
    </xf>
    <xf numFmtId="164" fontId="57" fillId="2" borderId="0" xfId="0" applyNumberFormat="1" applyFont="1" applyFill="1" applyProtection="1">
      <protection hidden="1"/>
    </xf>
    <xf numFmtId="0" fontId="57" fillId="18" borderId="0" xfId="0" applyNumberFormat="1" applyFont="1" applyFill="1" applyProtection="1">
      <protection hidden="1"/>
    </xf>
    <xf numFmtId="0" fontId="57" fillId="18" borderId="0" xfId="0" applyFont="1" applyFill="1" applyProtection="1">
      <protection hidden="1"/>
    </xf>
    <xf numFmtId="164" fontId="57" fillId="18" borderId="0" xfId="0" applyNumberFormat="1" applyFont="1" applyFill="1" applyProtection="1">
      <protection hidden="1"/>
    </xf>
    <xf numFmtId="0" fontId="14" fillId="18" borderId="0" xfId="0" applyNumberFormat="1" applyFont="1" applyFill="1" applyProtection="1">
      <protection hidden="1"/>
    </xf>
    <xf numFmtId="0" fontId="14" fillId="0" borderId="7"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164" fontId="14" fillId="0" borderId="0" xfId="0" applyNumberFormat="1" applyFont="1" applyFill="1" applyBorder="1" applyAlignment="1" applyProtection="1">
      <alignment vertical="center"/>
      <protection hidden="1"/>
    </xf>
    <xf numFmtId="0" fontId="14" fillId="0" borderId="8" xfId="0" applyFont="1" applyFill="1" applyBorder="1" applyAlignment="1" applyProtection="1">
      <alignment vertical="center"/>
      <protection hidden="1"/>
    </xf>
    <xf numFmtId="0" fontId="25" fillId="18" borderId="13" xfId="0" applyFont="1" applyFill="1" applyBorder="1" applyAlignment="1" applyProtection="1">
      <alignment vertical="center"/>
      <protection hidden="1"/>
    </xf>
    <xf numFmtId="0" fontId="25" fillId="18" borderId="14" xfId="0" applyFont="1" applyFill="1" applyBorder="1" applyAlignment="1" applyProtection="1">
      <alignment horizontal="right" vertical="center"/>
      <protection hidden="1"/>
    </xf>
    <xf numFmtId="0" fontId="23" fillId="16" borderId="1" xfId="0" applyFont="1" applyFill="1" applyBorder="1" applyAlignment="1" applyProtection="1">
      <alignment vertical="center"/>
      <protection hidden="1"/>
    </xf>
    <xf numFmtId="0" fontId="23" fillId="13" borderId="3" xfId="0" applyFont="1" applyFill="1" applyBorder="1" applyAlignment="1" applyProtection="1">
      <alignment vertical="center"/>
      <protection hidden="1"/>
    </xf>
    <xf numFmtId="0" fontId="26" fillId="18" borderId="0" xfId="0" applyFont="1" applyFill="1" applyBorder="1" applyAlignment="1" applyProtection="1">
      <alignment horizontal="left" vertical="center" shrinkToFit="1"/>
      <protection hidden="1"/>
    </xf>
    <xf numFmtId="0" fontId="25" fillId="18" borderId="0" xfId="0" applyFont="1" applyFill="1" applyBorder="1" applyAlignment="1" applyProtection="1">
      <alignment horizontal="left" vertical="center" shrinkToFit="1"/>
      <protection hidden="1"/>
    </xf>
    <xf numFmtId="0" fontId="25" fillId="18" borderId="0" xfId="0" applyFont="1" applyFill="1" applyAlignment="1" applyProtection="1">
      <alignment horizontal="right" vertical="center"/>
      <protection hidden="1"/>
    </xf>
    <xf numFmtId="3" fontId="25" fillId="18" borderId="0" xfId="0" applyNumberFormat="1" applyFont="1" applyFill="1" applyBorder="1" applyAlignment="1" applyProtection="1">
      <alignment horizontal="right" vertical="center"/>
      <protection hidden="1"/>
    </xf>
    <xf numFmtId="0" fontId="25" fillId="18" borderId="0" xfId="0" applyFont="1" applyFill="1" applyBorder="1" applyAlignment="1" applyProtection="1">
      <alignment horizontal="centerContinuous" vertical="center"/>
      <protection hidden="1"/>
    </xf>
    <xf numFmtId="175" fontId="25" fillId="18" borderId="0" xfId="0" applyNumberFormat="1" applyFont="1" applyFill="1" applyBorder="1" applyAlignment="1" applyProtection="1">
      <alignment horizontal="right" vertical="center"/>
      <protection hidden="1"/>
    </xf>
    <xf numFmtId="176" fontId="25" fillId="18" borderId="0" xfId="0" applyNumberFormat="1" applyFont="1" applyFill="1" applyBorder="1" applyAlignment="1" applyProtection="1">
      <alignment horizontal="right" vertical="center"/>
      <protection hidden="1"/>
    </xf>
    <xf numFmtId="0" fontId="25" fillId="18" borderId="0" xfId="0" applyNumberFormat="1" applyFont="1" applyFill="1" applyBorder="1" applyAlignment="1" applyProtection="1">
      <alignment horizontal="right" vertical="center"/>
      <protection hidden="1"/>
    </xf>
    <xf numFmtId="164" fontId="25" fillId="18" borderId="14" xfId="0" applyNumberFormat="1" applyFont="1" applyFill="1" applyBorder="1" applyAlignment="1" applyProtection="1">
      <alignment horizontal="right" vertical="center"/>
      <protection hidden="1"/>
    </xf>
    <xf numFmtId="0" fontId="58" fillId="18" borderId="0" xfId="0" applyFont="1" applyFill="1" applyBorder="1" applyAlignment="1" applyProtection="1">
      <alignment vertical="center"/>
      <protection hidden="1"/>
    </xf>
    <xf numFmtId="0" fontId="58" fillId="18" borderId="0" xfId="0" applyFont="1" applyFill="1" applyBorder="1" applyAlignment="1" applyProtection="1">
      <alignment horizontal="right" vertical="center"/>
      <protection hidden="1"/>
    </xf>
    <xf numFmtId="3" fontId="58" fillId="18" borderId="0" xfId="0" applyNumberFormat="1" applyFont="1" applyFill="1" applyBorder="1" applyAlignment="1" applyProtection="1">
      <alignment horizontal="right" vertical="center"/>
      <protection hidden="1"/>
    </xf>
    <xf numFmtId="0" fontId="25" fillId="18" borderId="7" xfId="0" applyFont="1" applyFill="1" applyBorder="1" applyAlignment="1" applyProtection="1">
      <alignment horizontal="right" vertical="center"/>
      <protection hidden="1"/>
    </xf>
    <xf numFmtId="3" fontId="25" fillId="18" borderId="14" xfId="0" applyNumberFormat="1" applyFont="1" applyFill="1" applyBorder="1" applyAlignment="1" applyProtection="1">
      <alignment horizontal="right" vertical="center"/>
      <protection hidden="1"/>
    </xf>
    <xf numFmtId="0" fontId="25" fillId="8" borderId="4" xfId="0" applyFont="1" applyFill="1" applyBorder="1" applyAlignment="1" applyProtection="1">
      <alignment vertical="center"/>
      <protection hidden="1"/>
    </xf>
    <xf numFmtId="0" fontId="25" fillId="8" borderId="5" xfId="0" applyFont="1" applyFill="1" applyBorder="1" applyAlignment="1" applyProtection="1">
      <alignment horizontal="left" vertical="center" indent="1"/>
      <protection hidden="1"/>
    </xf>
    <xf numFmtId="0" fontId="25" fillId="8" borderId="5" xfId="0" applyFont="1" applyFill="1" applyBorder="1" applyAlignment="1" applyProtection="1">
      <alignment vertical="center"/>
      <protection hidden="1"/>
    </xf>
    <xf numFmtId="3" fontId="25" fillId="8" borderId="5" xfId="0" applyNumberFormat="1" applyFont="1" applyFill="1" applyBorder="1" applyAlignment="1" applyProtection="1">
      <alignment horizontal="right" vertical="center"/>
      <protection hidden="1"/>
    </xf>
    <xf numFmtId="0" fontId="14" fillId="8" borderId="6" xfId="0" applyFont="1" applyFill="1" applyBorder="1" applyAlignment="1" applyProtection="1">
      <alignment vertical="center"/>
      <protection hidden="1"/>
    </xf>
    <xf numFmtId="0" fontId="25" fillId="8" borderId="7" xfId="0" applyFont="1" applyFill="1" applyBorder="1" applyAlignment="1" applyProtection="1">
      <alignment vertical="center"/>
      <protection hidden="1"/>
    </xf>
    <xf numFmtId="0" fontId="58" fillId="8" borderId="0" xfId="0" applyFont="1" applyFill="1" applyBorder="1" applyAlignment="1" applyProtection="1">
      <alignment horizontal="left" vertical="center"/>
      <protection hidden="1"/>
    </xf>
    <xf numFmtId="0" fontId="25" fillId="8" borderId="0" xfId="0" applyFont="1" applyFill="1" applyBorder="1" applyAlignment="1" applyProtection="1">
      <alignment vertical="center"/>
      <protection hidden="1"/>
    </xf>
    <xf numFmtId="0" fontId="25" fillId="8" borderId="8" xfId="0" applyFont="1" applyFill="1" applyBorder="1" applyAlignment="1" applyProtection="1">
      <alignment vertical="center"/>
      <protection hidden="1"/>
    </xf>
    <xf numFmtId="0" fontId="25" fillId="8" borderId="0" xfId="0" applyFont="1" applyFill="1" applyBorder="1" applyAlignment="1" applyProtection="1">
      <alignment horizontal="left" vertical="center"/>
      <protection hidden="1"/>
    </xf>
    <xf numFmtId="3" fontId="25" fillId="3" borderId="38" xfId="0" applyNumberFormat="1" applyFont="1" applyFill="1" applyBorder="1" applyAlignment="1" applyProtection="1">
      <alignment vertical="center"/>
      <protection hidden="1"/>
    </xf>
    <xf numFmtId="0" fontId="25" fillId="8" borderId="0" xfId="0" applyNumberFormat="1" applyFont="1" applyFill="1" applyBorder="1" applyAlignment="1" applyProtection="1">
      <alignment vertical="center"/>
      <protection hidden="1"/>
    </xf>
    <xf numFmtId="164" fontId="25" fillId="8" borderId="0" xfId="0" applyNumberFormat="1" applyFont="1" applyFill="1" applyBorder="1" applyAlignment="1" applyProtection="1">
      <alignment vertical="center"/>
      <protection hidden="1"/>
    </xf>
    <xf numFmtId="1" fontId="25" fillId="8" borderId="0" xfId="0" applyNumberFormat="1" applyFont="1" applyFill="1" applyBorder="1" applyAlignment="1" applyProtection="1">
      <alignment horizontal="right" vertical="center"/>
      <protection hidden="1"/>
    </xf>
    <xf numFmtId="3" fontId="25" fillId="23" borderId="38" xfId="0" applyNumberFormat="1" applyFont="1" applyFill="1" applyBorder="1" applyAlignment="1" applyProtection="1">
      <alignment vertical="center"/>
      <protection locked="0"/>
    </xf>
    <xf numFmtId="175" fontId="25" fillId="18" borderId="38" xfId="0" applyNumberFormat="1" applyFont="1" applyFill="1" applyBorder="1" applyAlignment="1" applyProtection="1">
      <alignment vertical="center"/>
      <protection hidden="1"/>
    </xf>
    <xf numFmtId="3" fontId="25" fillId="18" borderId="38" xfId="0" applyNumberFormat="1" applyFont="1" applyFill="1" applyBorder="1" applyAlignment="1" applyProtection="1">
      <alignment vertical="center"/>
      <protection hidden="1"/>
    </xf>
    <xf numFmtId="4" fontId="25" fillId="23" borderId="38" xfId="0" applyNumberFormat="1" applyFont="1" applyFill="1" applyBorder="1" applyAlignment="1" applyProtection="1">
      <alignment vertical="center"/>
      <protection locked="0"/>
    </xf>
    <xf numFmtId="164" fontId="59" fillId="8" borderId="0" xfId="0" applyNumberFormat="1" applyFont="1" applyFill="1" applyBorder="1" applyAlignment="1" applyProtection="1">
      <alignment vertical="center"/>
      <protection hidden="1"/>
    </xf>
    <xf numFmtId="0" fontId="25" fillId="8" borderId="5" xfId="0" applyFont="1" applyFill="1" applyBorder="1" applyAlignment="1" applyProtection="1">
      <alignment horizontal="left" vertical="center"/>
      <protection hidden="1"/>
    </xf>
    <xf numFmtId="4" fontId="25" fillId="3" borderId="38" xfId="0" applyNumberFormat="1" applyFont="1" applyFill="1" applyBorder="1" applyAlignment="1" applyProtection="1">
      <alignment horizontal="right" vertical="center"/>
      <protection hidden="1"/>
    </xf>
    <xf numFmtId="0" fontId="31" fillId="8" borderId="0" xfId="0" applyFont="1" applyFill="1" applyBorder="1" applyAlignment="1" applyProtection="1">
      <alignment horizontal="center" vertical="center"/>
      <protection hidden="1"/>
    </xf>
    <xf numFmtId="3" fontId="25" fillId="8" borderId="0" xfId="0" applyNumberFormat="1" applyFont="1" applyFill="1" applyBorder="1" applyAlignment="1" applyProtection="1">
      <alignment horizontal="right" vertical="center"/>
      <protection hidden="1"/>
    </xf>
    <xf numFmtId="0" fontId="25" fillId="8" borderId="13" xfId="0" applyFont="1" applyFill="1" applyBorder="1" applyAlignment="1" applyProtection="1">
      <alignment vertical="center"/>
      <protection hidden="1"/>
    </xf>
    <xf numFmtId="0" fontId="25" fillId="8" borderId="14" xfId="0" applyFont="1" applyFill="1" applyBorder="1" applyAlignment="1" applyProtection="1">
      <alignment horizontal="left" vertical="center" indent="1"/>
      <protection hidden="1"/>
    </xf>
    <xf numFmtId="0" fontId="25" fillId="8" borderId="14" xfId="0" applyFont="1" applyFill="1" applyBorder="1" applyAlignment="1" applyProtection="1">
      <alignment vertical="center"/>
      <protection hidden="1"/>
    </xf>
    <xf numFmtId="164" fontId="59" fillId="8" borderId="14" xfId="0" applyNumberFormat="1" applyFont="1" applyFill="1" applyBorder="1" applyAlignment="1" applyProtection="1">
      <alignment vertical="center"/>
      <protection hidden="1"/>
    </xf>
    <xf numFmtId="0" fontId="25" fillId="8" borderId="15" xfId="0" applyFont="1" applyFill="1" applyBorder="1" applyAlignment="1" applyProtection="1">
      <alignment vertical="center"/>
      <protection hidden="1"/>
    </xf>
    <xf numFmtId="0" fontId="26" fillId="18" borderId="0" xfId="0" applyFont="1" applyFill="1" applyBorder="1" applyAlignment="1" applyProtection="1">
      <alignment vertical="center"/>
      <protection hidden="1"/>
    </xf>
    <xf numFmtId="3" fontId="26" fillId="18" borderId="0" xfId="0" applyNumberFormat="1" applyFont="1" applyFill="1" applyBorder="1" applyAlignment="1" applyProtection="1">
      <alignment horizontal="right" vertical="center"/>
      <protection hidden="1"/>
    </xf>
    <xf numFmtId="3" fontId="25" fillId="18" borderId="14" xfId="0" applyNumberFormat="1" applyFont="1" applyFill="1" applyBorder="1" applyAlignment="1" applyProtection="1">
      <alignment vertical="center"/>
      <protection hidden="1"/>
    </xf>
    <xf numFmtId="0" fontId="25" fillId="18" borderId="14" xfId="0" quotePrefix="1" applyFont="1" applyFill="1" applyBorder="1" applyAlignment="1" applyProtection="1">
      <alignment vertical="center"/>
      <protection hidden="1"/>
    </xf>
    <xf numFmtId="164" fontId="24" fillId="18" borderId="0" xfId="0" applyNumberFormat="1" applyFont="1" applyFill="1" applyBorder="1" applyAlignment="1" applyProtection="1">
      <alignment horizontal="right" vertical="center"/>
      <protection hidden="1"/>
    </xf>
    <xf numFmtId="0" fontId="25" fillId="7" borderId="32" xfId="0" quotePrefix="1" applyFont="1" applyFill="1" applyBorder="1" applyAlignment="1" applyProtection="1">
      <alignment vertical="center"/>
      <protection hidden="1"/>
    </xf>
    <xf numFmtId="0" fontId="25" fillId="7" borderId="33" xfId="0" applyFont="1" applyFill="1" applyBorder="1" applyAlignment="1" applyProtection="1">
      <alignment vertical="center"/>
      <protection hidden="1"/>
    </xf>
    <xf numFmtId="3" fontId="25" fillId="9" borderId="39" xfId="0" applyNumberFormat="1" applyFont="1" applyFill="1" applyBorder="1" applyAlignment="1" applyProtection="1">
      <alignment horizontal="right" vertical="center"/>
      <protection hidden="1"/>
    </xf>
    <xf numFmtId="0" fontId="25" fillId="7" borderId="36" xfId="0" quotePrefix="1" applyFont="1" applyFill="1" applyBorder="1" applyAlignment="1" applyProtection="1">
      <alignment vertical="center"/>
      <protection hidden="1"/>
    </xf>
    <xf numFmtId="0" fontId="25" fillId="7" borderId="35" xfId="0" applyFont="1" applyFill="1" applyBorder="1" applyAlignment="1" applyProtection="1">
      <alignment vertical="center"/>
      <protection hidden="1"/>
    </xf>
    <xf numFmtId="3" fontId="25" fillId="9" borderId="40" xfId="0" applyNumberFormat="1" applyFont="1" applyFill="1" applyBorder="1" applyAlignment="1" applyProtection="1">
      <alignment horizontal="right" vertical="center"/>
      <protection hidden="1"/>
    </xf>
    <xf numFmtId="0" fontId="25" fillId="7" borderId="36" xfId="0" applyFont="1" applyFill="1" applyBorder="1" applyAlignment="1" applyProtection="1">
      <alignment vertical="center"/>
      <protection hidden="1"/>
    </xf>
    <xf numFmtId="0" fontId="25" fillId="23" borderId="36" xfId="0" applyFont="1" applyFill="1" applyBorder="1" applyAlignment="1" applyProtection="1">
      <alignment vertical="center"/>
      <protection locked="0"/>
    </xf>
    <xf numFmtId="0" fontId="25" fillId="23" borderId="35" xfId="0" applyFont="1" applyFill="1" applyBorder="1" applyAlignment="1" applyProtection="1">
      <alignment vertical="center"/>
      <protection locked="0"/>
    </xf>
    <xf numFmtId="3" fontId="25" fillId="23" borderId="40" xfId="0" applyNumberFormat="1" applyFont="1" applyFill="1" applyBorder="1" applyAlignment="1" applyProtection="1">
      <alignment horizontal="right" vertical="center"/>
      <protection locked="0"/>
    </xf>
    <xf numFmtId="0" fontId="25" fillId="23" borderId="36" xfId="0" quotePrefix="1" applyFont="1" applyFill="1" applyBorder="1" applyAlignment="1" applyProtection="1">
      <alignment vertical="center"/>
      <protection locked="0"/>
    </xf>
    <xf numFmtId="0" fontId="25" fillId="23" borderId="13" xfId="0" quotePrefix="1" applyFont="1" applyFill="1" applyBorder="1" applyAlignment="1" applyProtection="1">
      <alignment vertical="center"/>
      <protection locked="0"/>
    </xf>
    <xf numFmtId="0" fontId="25" fillId="23" borderId="14" xfId="0" applyFont="1" applyFill="1" applyBorder="1" applyAlignment="1" applyProtection="1">
      <alignment vertical="center"/>
      <protection locked="0"/>
    </xf>
    <xf numFmtId="3" fontId="25" fillId="23" borderId="41" xfId="0" applyNumberFormat="1" applyFont="1" applyFill="1" applyBorder="1" applyAlignment="1" applyProtection="1">
      <alignment horizontal="right" vertical="center"/>
      <protection locked="0"/>
    </xf>
    <xf numFmtId="0" fontId="14" fillId="2" borderId="0" xfId="0" applyFont="1" applyFill="1" applyProtection="1">
      <protection hidden="1"/>
    </xf>
    <xf numFmtId="4" fontId="25" fillId="18" borderId="0" xfId="0" applyNumberFormat="1" applyFont="1" applyFill="1" applyBorder="1" applyAlignment="1" applyProtection="1">
      <alignment horizontal="right" vertical="center"/>
      <protection hidden="1"/>
    </xf>
    <xf numFmtId="0" fontId="25" fillId="23" borderId="0" xfId="0" applyFont="1" applyFill="1" applyAlignment="1" applyProtection="1">
      <alignment horizontal="left" vertical="center"/>
      <protection locked="0"/>
    </xf>
    <xf numFmtId="164" fontId="24" fillId="18" borderId="0" xfId="0" applyNumberFormat="1" applyFont="1" applyFill="1" applyAlignment="1" applyProtection="1">
      <alignment vertical="center"/>
      <protection hidden="1"/>
    </xf>
    <xf numFmtId="0" fontId="25" fillId="18" borderId="7" xfId="0" applyFont="1" applyFill="1" applyBorder="1" applyAlignment="1" applyProtection="1">
      <alignment horizontal="center" vertical="center"/>
      <protection hidden="1"/>
    </xf>
    <xf numFmtId="0" fontId="58" fillId="6" borderId="0" xfId="0" applyFont="1" applyFill="1" applyBorder="1" applyAlignment="1" applyProtection="1">
      <alignment vertical="center"/>
      <protection hidden="1"/>
    </xf>
    <xf numFmtId="0" fontId="58" fillId="6" borderId="0" xfId="0" applyFont="1" applyFill="1" applyBorder="1" applyAlignment="1" applyProtection="1">
      <alignment horizontal="right" vertical="center"/>
      <protection hidden="1"/>
    </xf>
    <xf numFmtId="3" fontId="58" fillId="6" borderId="0" xfId="0" applyNumberFormat="1" applyFont="1" applyFill="1" applyBorder="1" applyAlignment="1" applyProtection="1">
      <alignment horizontal="right" vertical="center"/>
      <protection hidden="1"/>
    </xf>
    <xf numFmtId="0" fontId="25" fillId="6" borderId="0" xfId="0" applyFont="1" applyFill="1" applyBorder="1" applyAlignment="1" applyProtection="1">
      <alignment vertical="center"/>
      <protection hidden="1"/>
    </xf>
    <xf numFmtId="3" fontId="25" fillId="6" borderId="0" xfId="0" applyNumberFormat="1" applyFont="1" applyFill="1" applyBorder="1" applyAlignment="1" applyProtection="1">
      <alignment vertical="center"/>
      <protection hidden="1"/>
    </xf>
    <xf numFmtId="3" fontId="25" fillId="6" borderId="0" xfId="0" applyNumberFormat="1" applyFont="1" applyFill="1" applyBorder="1" applyAlignment="1" applyProtection="1">
      <alignment horizontal="right" vertical="center"/>
      <protection hidden="1"/>
    </xf>
    <xf numFmtId="0" fontId="25" fillId="6" borderId="14" xfId="0" applyFont="1" applyFill="1" applyBorder="1" applyAlignment="1" applyProtection="1">
      <alignment vertical="center"/>
      <protection hidden="1"/>
    </xf>
    <xf numFmtId="3" fontId="25" fillId="6" borderId="14" xfId="0" applyNumberFormat="1" applyFont="1" applyFill="1" applyBorder="1" applyAlignment="1" applyProtection="1">
      <alignment vertical="center"/>
      <protection hidden="1"/>
    </xf>
    <xf numFmtId="3" fontId="25" fillId="6" borderId="14" xfId="0" applyNumberFormat="1" applyFont="1" applyFill="1" applyBorder="1" applyAlignment="1" applyProtection="1">
      <alignment horizontal="right" vertical="center"/>
      <protection hidden="1"/>
    </xf>
    <xf numFmtId="0" fontId="25" fillId="6" borderId="5" xfId="0" applyFont="1" applyFill="1" applyBorder="1" applyAlignment="1" applyProtection="1">
      <alignment vertical="center"/>
      <protection hidden="1"/>
    </xf>
    <xf numFmtId="3" fontId="25" fillId="6" borderId="5" xfId="0" applyNumberFormat="1" applyFont="1" applyFill="1" applyBorder="1" applyAlignment="1" applyProtection="1">
      <alignment horizontal="right" vertical="center"/>
      <protection hidden="1"/>
    </xf>
    <xf numFmtId="164" fontId="55" fillId="2" borderId="0" xfId="0" applyNumberFormat="1" applyFont="1" applyFill="1" applyAlignment="1" applyProtection="1">
      <alignment vertical="center"/>
      <protection hidden="1"/>
    </xf>
    <xf numFmtId="0" fontId="26" fillId="18" borderId="5" xfId="0" applyFont="1" applyFill="1" applyBorder="1" applyAlignment="1" applyProtection="1">
      <alignment vertical="center"/>
      <protection hidden="1"/>
    </xf>
    <xf numFmtId="3" fontId="26" fillId="18" borderId="5" xfId="0" applyNumberFormat="1" applyFont="1" applyFill="1" applyBorder="1" applyAlignment="1" applyProtection="1">
      <alignment horizontal="right" vertical="center"/>
      <protection hidden="1"/>
    </xf>
    <xf numFmtId="0" fontId="24" fillId="18" borderId="0" xfId="0" applyFont="1" applyFill="1" applyAlignment="1" applyProtection="1">
      <alignment vertical="center"/>
      <protection hidden="1"/>
    </xf>
    <xf numFmtId="0" fontId="25" fillId="18" borderId="0" xfId="0" applyFont="1" applyFill="1" applyAlignment="1" applyProtection="1">
      <alignment horizontal="center" vertical="center"/>
      <protection hidden="1"/>
    </xf>
    <xf numFmtId="0" fontId="40" fillId="18" borderId="0" xfId="0" applyFont="1" applyFill="1" applyAlignment="1" applyProtection="1">
      <alignment vertical="top"/>
      <protection hidden="1"/>
    </xf>
    <xf numFmtId="0" fontId="14" fillId="18" borderId="0" xfId="0" applyNumberFormat="1" applyFont="1" applyFill="1" applyAlignment="1" applyProtection="1">
      <alignment vertical="top"/>
      <protection hidden="1"/>
    </xf>
    <xf numFmtId="0" fontId="26" fillId="18" borderId="1" xfId="0" applyFont="1" applyFill="1" applyBorder="1" applyAlignment="1" applyProtection="1">
      <alignment vertical="center"/>
      <protection hidden="1"/>
    </xf>
    <xf numFmtId="0" fontId="26" fillId="18" borderId="2" xfId="0" applyFont="1" applyFill="1" applyBorder="1" applyAlignment="1" applyProtection="1">
      <alignment vertical="center"/>
      <protection hidden="1"/>
    </xf>
    <xf numFmtId="14" fontId="26" fillId="18" borderId="3" xfId="0" applyNumberFormat="1" applyFont="1" applyFill="1" applyBorder="1" applyAlignment="1" applyProtection="1">
      <alignment horizontal="right" vertical="center"/>
      <protection hidden="1"/>
    </xf>
    <xf numFmtId="3" fontId="25" fillId="18" borderId="8" xfId="0" applyNumberFormat="1" applyFont="1" applyFill="1" applyBorder="1" applyAlignment="1" applyProtection="1">
      <alignment horizontal="right" vertical="center"/>
      <protection hidden="1"/>
    </xf>
    <xf numFmtId="3" fontId="26" fillId="18" borderId="3" xfId="0" applyNumberFormat="1" applyFont="1" applyFill="1" applyBorder="1" applyAlignment="1" applyProtection="1">
      <alignment horizontal="right" vertical="center"/>
      <protection hidden="1"/>
    </xf>
    <xf numFmtId="10" fontId="25" fillId="18" borderId="0" xfId="0" applyNumberFormat="1" applyFont="1" applyFill="1" applyBorder="1" applyAlignment="1" applyProtection="1">
      <alignment horizontal="right" vertical="center"/>
      <protection hidden="1"/>
    </xf>
    <xf numFmtId="2" fontId="25" fillId="18" borderId="0" xfId="0" applyNumberFormat="1" applyFont="1" applyFill="1" applyBorder="1" applyAlignment="1" applyProtection="1">
      <alignment horizontal="right" vertical="center"/>
      <protection hidden="1"/>
    </xf>
    <xf numFmtId="0" fontId="24" fillId="18" borderId="0" xfId="0" applyFont="1" applyFill="1" applyBorder="1" applyAlignment="1" applyProtection="1">
      <alignment vertical="center"/>
      <protection hidden="1"/>
    </xf>
    <xf numFmtId="0" fontId="30" fillId="18" borderId="0" xfId="0" applyFont="1" applyFill="1" applyAlignment="1" applyProtection="1">
      <alignment vertical="center"/>
      <protection hidden="1"/>
    </xf>
    <xf numFmtId="164" fontId="24" fillId="18" borderId="0" xfId="0" applyNumberFormat="1" applyFont="1" applyFill="1" applyBorder="1" applyAlignment="1" applyProtection="1">
      <alignment vertical="center"/>
      <protection hidden="1"/>
    </xf>
    <xf numFmtId="164" fontId="25" fillId="18" borderId="0" xfId="0" applyNumberFormat="1" applyFont="1" applyFill="1" applyBorder="1" applyAlignment="1" applyProtection="1">
      <alignment vertical="center"/>
      <protection hidden="1"/>
    </xf>
    <xf numFmtId="166" fontId="25" fillId="18" borderId="0" xfId="0" applyNumberFormat="1" applyFont="1" applyFill="1" applyBorder="1" applyAlignment="1" applyProtection="1">
      <alignment horizontal="right" vertical="center"/>
      <protection hidden="1"/>
    </xf>
    <xf numFmtId="174" fontId="25" fillId="18" borderId="0" xfId="0" applyNumberFormat="1" applyFont="1" applyFill="1" applyBorder="1" applyAlignment="1" applyProtection="1">
      <alignment horizontal="right" vertical="center"/>
      <protection hidden="1"/>
    </xf>
    <xf numFmtId="0" fontId="24" fillId="18" borderId="7" xfId="0" applyFont="1" applyFill="1" applyBorder="1" applyAlignment="1" applyProtection="1">
      <alignment vertical="center"/>
      <protection hidden="1"/>
    </xf>
    <xf numFmtId="3" fontId="25" fillId="18" borderId="5" xfId="0" applyNumberFormat="1" applyFont="1" applyFill="1" applyBorder="1" applyAlignment="1" applyProtection="1">
      <alignment horizontal="right" vertical="center"/>
      <protection hidden="1"/>
    </xf>
    <xf numFmtId="164" fontId="25" fillId="18" borderId="5" xfId="0" applyNumberFormat="1" applyFont="1" applyFill="1" applyBorder="1" applyAlignment="1" applyProtection="1">
      <alignment vertical="center"/>
      <protection hidden="1"/>
    </xf>
    <xf numFmtId="3" fontId="25" fillId="18" borderId="0" xfId="0" applyNumberFormat="1" applyFont="1" applyFill="1" applyBorder="1" applyAlignment="1" applyProtection="1">
      <alignment vertical="center"/>
      <protection hidden="1"/>
    </xf>
    <xf numFmtId="164" fontId="25" fillId="18" borderId="0" xfId="0" applyNumberFormat="1" applyFont="1" applyFill="1" applyAlignment="1" applyProtection="1">
      <alignment vertical="center"/>
      <protection hidden="1"/>
    </xf>
    <xf numFmtId="14" fontId="25" fillId="18" borderId="0" xfId="0" applyNumberFormat="1" applyFont="1" applyFill="1" applyAlignment="1" applyProtection="1">
      <alignment vertical="center"/>
      <protection hidden="1"/>
    </xf>
    <xf numFmtId="164" fontId="25" fillId="18" borderId="14" xfId="0" applyNumberFormat="1" applyFont="1" applyFill="1" applyBorder="1" applyAlignment="1" applyProtection="1">
      <alignment vertical="center"/>
      <protection hidden="1"/>
    </xf>
    <xf numFmtId="0" fontId="57" fillId="2" borderId="0" xfId="0" applyFont="1" applyFill="1" applyProtection="1">
      <protection hidden="1"/>
    </xf>
    <xf numFmtId="0" fontId="14" fillId="2" borderId="0" xfId="0" applyNumberFormat="1" applyFont="1" applyFill="1" applyProtection="1">
      <protection hidden="1"/>
    </xf>
    <xf numFmtId="164" fontId="57" fillId="2" borderId="0" xfId="0" applyNumberFormat="1" applyFont="1" applyFill="1" applyBorder="1" applyProtection="1">
      <protection hidden="1"/>
    </xf>
    <xf numFmtId="14" fontId="40" fillId="2" borderId="0" xfId="0" applyNumberFormat="1" applyFont="1" applyFill="1" applyProtection="1">
      <protection hidden="1"/>
    </xf>
    <xf numFmtId="14" fontId="57" fillId="2" borderId="0" xfId="0" applyNumberFormat="1" applyFont="1" applyFill="1" applyProtection="1">
      <protection hidden="1"/>
    </xf>
    <xf numFmtId="0" fontId="40" fillId="2" borderId="0" xfId="0" applyFont="1" applyFill="1"/>
    <xf numFmtId="0" fontId="14" fillId="2" borderId="0" xfId="0" applyNumberFormat="1" applyFont="1" applyFill="1"/>
    <xf numFmtId="0" fontId="57" fillId="2" borderId="0" xfId="0" applyFont="1" applyFill="1"/>
    <xf numFmtId="0" fontId="60" fillId="13" borderId="1" xfId="0" applyFont="1" applyFill="1" applyBorder="1" applyAlignment="1" applyProtection="1">
      <alignment vertical="center"/>
      <protection hidden="1"/>
    </xf>
    <xf numFmtId="0" fontId="53" fillId="18" borderId="0" xfId="0" applyFont="1" applyFill="1" applyBorder="1" applyProtection="1">
      <protection hidden="1"/>
    </xf>
    <xf numFmtId="164" fontId="27" fillId="3" borderId="0" xfId="0" applyNumberFormat="1" applyFont="1" applyFill="1" applyBorder="1" applyProtection="1">
      <protection hidden="1"/>
    </xf>
    <xf numFmtId="164" fontId="27" fillId="3" borderId="5" xfId="0" applyNumberFormat="1" applyFont="1" applyFill="1" applyBorder="1" applyProtection="1">
      <protection hidden="1"/>
    </xf>
    <xf numFmtId="0" fontId="53" fillId="18" borderId="55" xfId="0" applyFont="1" applyFill="1" applyBorder="1" applyProtection="1">
      <protection hidden="1"/>
    </xf>
    <xf numFmtId="0" fontId="53" fillId="18" borderId="56" xfId="0" applyFont="1" applyFill="1" applyBorder="1" applyProtection="1">
      <protection hidden="1"/>
    </xf>
    <xf numFmtId="0" fontId="53" fillId="18" borderId="52" xfId="0" applyFont="1" applyFill="1" applyBorder="1" applyProtection="1">
      <protection hidden="1"/>
    </xf>
    <xf numFmtId="0" fontId="53" fillId="18" borderId="54" xfId="0" applyFont="1" applyFill="1" applyBorder="1" applyProtection="1">
      <protection hidden="1"/>
    </xf>
    <xf numFmtId="0" fontId="53" fillId="18" borderId="53" xfId="0" applyFont="1" applyFill="1" applyBorder="1" applyProtection="1">
      <protection hidden="1"/>
    </xf>
    <xf numFmtId="175" fontId="57" fillId="2" borderId="0" xfId="0" applyNumberFormat="1" applyFont="1" applyFill="1" applyProtection="1">
      <protection hidden="1"/>
    </xf>
    <xf numFmtId="0" fontId="40" fillId="3" borderId="0" xfId="0" applyFont="1" applyFill="1" applyProtection="1">
      <protection hidden="1"/>
    </xf>
    <xf numFmtId="0" fontId="34" fillId="13" borderId="42" xfId="0" applyFont="1" applyFill="1" applyBorder="1" applyAlignment="1" applyProtection="1">
      <alignment horizontal="centerContinuous" vertical="center"/>
      <protection hidden="1"/>
    </xf>
    <xf numFmtId="0" fontId="34" fillId="13" borderId="43" xfId="0" applyFont="1" applyFill="1" applyBorder="1" applyAlignment="1" applyProtection="1">
      <alignment horizontal="centerContinuous" vertical="center"/>
      <protection hidden="1"/>
    </xf>
    <xf numFmtId="0" fontId="34" fillId="13" borderId="44" xfId="0" applyFont="1" applyFill="1" applyBorder="1" applyAlignment="1" applyProtection="1">
      <alignment horizontal="centerContinuous" vertical="center"/>
      <protection hidden="1"/>
    </xf>
    <xf numFmtId="0" fontId="25" fillId="3" borderId="45" xfId="0" applyFont="1" applyFill="1" applyBorder="1" applyProtection="1">
      <protection hidden="1"/>
    </xf>
    <xf numFmtId="0" fontId="25" fillId="3" borderId="0" xfId="0" applyFont="1" applyFill="1" applyBorder="1" applyProtection="1">
      <protection hidden="1"/>
    </xf>
    <xf numFmtId="0" fontId="25" fillId="3" borderId="46" xfId="0" applyFont="1" applyFill="1" applyBorder="1" applyProtection="1">
      <protection hidden="1"/>
    </xf>
    <xf numFmtId="0" fontId="25" fillId="3" borderId="47" xfId="0" applyFont="1" applyFill="1" applyBorder="1" applyProtection="1">
      <protection hidden="1"/>
    </xf>
    <xf numFmtId="0" fontId="33" fillId="3" borderId="48" xfId="0" applyFont="1" applyFill="1" applyBorder="1" applyAlignment="1" applyProtection="1">
      <alignment vertical="center"/>
      <protection hidden="1"/>
    </xf>
    <xf numFmtId="0" fontId="33" fillId="3" borderId="49" xfId="0" applyFont="1" applyFill="1" applyBorder="1" applyAlignment="1" applyProtection="1">
      <alignment vertical="center"/>
      <protection hidden="1"/>
    </xf>
    <xf numFmtId="175" fontId="33" fillId="23" borderId="48" xfId="0" applyNumberFormat="1" applyFont="1" applyFill="1" applyBorder="1" applyAlignment="1" applyProtection="1">
      <alignment horizontal="right" vertical="center"/>
      <protection locked="0"/>
    </xf>
    <xf numFmtId="175" fontId="33" fillId="23" borderId="50" xfId="0" applyNumberFormat="1" applyFont="1" applyFill="1" applyBorder="1" applyAlignment="1" applyProtection="1">
      <alignment horizontal="right" vertical="center"/>
      <protection locked="0"/>
    </xf>
    <xf numFmtId="175" fontId="33" fillId="3" borderId="50" xfId="0" applyNumberFormat="1" applyFont="1" applyFill="1" applyBorder="1" applyAlignment="1" applyProtection="1">
      <alignment horizontal="right" vertical="center"/>
      <protection hidden="1"/>
    </xf>
    <xf numFmtId="175" fontId="33" fillId="23" borderId="49" xfId="0" applyNumberFormat="1" applyFont="1" applyFill="1" applyBorder="1" applyAlignment="1" applyProtection="1">
      <alignment horizontal="right" vertical="center"/>
      <protection locked="0"/>
    </xf>
    <xf numFmtId="0" fontId="25" fillId="3" borderId="51" xfId="0" applyFont="1" applyFill="1" applyBorder="1" applyProtection="1">
      <protection hidden="1"/>
    </xf>
    <xf numFmtId="0" fontId="31" fillId="3" borderId="52" xfId="0" applyFont="1" applyFill="1" applyBorder="1" applyAlignment="1" applyProtection="1">
      <alignment vertical="center"/>
      <protection hidden="1"/>
    </xf>
    <xf numFmtId="0" fontId="31" fillId="3" borderId="53" xfId="0" applyFont="1" applyFill="1" applyBorder="1" applyAlignment="1" applyProtection="1">
      <alignment vertical="center"/>
      <protection hidden="1"/>
    </xf>
    <xf numFmtId="177" fontId="31" fillId="18" borderId="52" xfId="0" applyNumberFormat="1" applyFont="1" applyFill="1" applyBorder="1" applyAlignment="1" applyProtection="1">
      <alignment horizontal="right" vertical="center"/>
      <protection hidden="1"/>
    </xf>
    <xf numFmtId="177" fontId="31" fillId="18" borderId="54" xfId="0" applyNumberFormat="1" applyFont="1" applyFill="1" applyBorder="1" applyAlignment="1" applyProtection="1">
      <alignment horizontal="right" vertical="center"/>
      <protection hidden="1"/>
    </xf>
    <xf numFmtId="177" fontId="31" fillId="3" borderId="54" xfId="0" applyNumberFormat="1" applyFont="1" applyFill="1" applyBorder="1" applyAlignment="1" applyProtection="1">
      <alignment horizontal="right" vertical="center"/>
      <protection hidden="1"/>
    </xf>
    <xf numFmtId="177" fontId="31" fillId="18" borderId="53" xfId="0" applyNumberFormat="1" applyFont="1" applyFill="1" applyBorder="1" applyAlignment="1" applyProtection="1">
      <alignment horizontal="right" vertical="center"/>
      <protection hidden="1"/>
    </xf>
    <xf numFmtId="0" fontId="31" fillId="18" borderId="48" xfId="0" applyFont="1" applyFill="1" applyBorder="1" applyAlignment="1" applyProtection="1">
      <alignment vertical="center"/>
      <protection hidden="1"/>
    </xf>
    <xf numFmtId="0" fontId="31" fillId="18" borderId="49" xfId="0" applyFont="1" applyFill="1" applyBorder="1" applyAlignment="1" applyProtection="1">
      <alignment horizontal="right" vertical="center"/>
      <protection hidden="1"/>
    </xf>
    <xf numFmtId="0" fontId="31" fillId="18" borderId="55" xfId="0" applyFont="1" applyFill="1" applyBorder="1" applyAlignment="1" applyProtection="1">
      <alignment vertical="center"/>
      <protection hidden="1"/>
    </xf>
    <xf numFmtId="0" fontId="31" fillId="18" borderId="56" xfId="0" applyFont="1" applyFill="1" applyBorder="1" applyAlignment="1" applyProtection="1">
      <alignment horizontal="right" vertical="center"/>
      <protection hidden="1"/>
    </xf>
    <xf numFmtId="3" fontId="31" fillId="18" borderId="55" xfId="0" applyNumberFormat="1" applyFont="1" applyFill="1" applyBorder="1" applyAlignment="1" applyProtection="1">
      <alignment horizontal="right" vertical="center"/>
      <protection hidden="1"/>
    </xf>
    <xf numFmtId="3" fontId="31" fillId="18" borderId="56" xfId="0" applyNumberFormat="1" applyFont="1" applyFill="1" applyBorder="1" applyAlignment="1" applyProtection="1">
      <alignment horizontal="right" vertical="center"/>
      <protection hidden="1"/>
    </xf>
    <xf numFmtId="4" fontId="31" fillId="18" borderId="55" xfId="0" applyNumberFormat="1" applyFont="1" applyFill="1" applyBorder="1" applyAlignment="1" applyProtection="1">
      <alignment horizontal="right" vertical="center"/>
      <protection hidden="1"/>
    </xf>
    <xf numFmtId="4" fontId="31" fillId="18" borderId="56" xfId="0" applyNumberFormat="1" applyFont="1" applyFill="1" applyBorder="1" applyAlignment="1" applyProtection="1">
      <alignment horizontal="right" vertical="center"/>
      <protection hidden="1"/>
    </xf>
    <xf numFmtId="174" fontId="31" fillId="18" borderId="55" xfId="0" applyNumberFormat="1" applyFont="1" applyFill="1" applyBorder="1" applyAlignment="1" applyProtection="1">
      <alignment horizontal="right" vertical="center"/>
      <protection hidden="1"/>
    </xf>
    <xf numFmtId="174" fontId="31" fillId="18" borderId="56" xfId="0" applyNumberFormat="1" applyFont="1" applyFill="1" applyBorder="1" applyAlignment="1" applyProtection="1">
      <alignment horizontal="right" vertical="center"/>
      <protection hidden="1"/>
    </xf>
    <xf numFmtId="0" fontId="31" fillId="18" borderId="52" xfId="0" applyFont="1" applyFill="1" applyBorder="1" applyAlignment="1" applyProtection="1">
      <alignment vertical="center"/>
      <protection hidden="1"/>
    </xf>
    <xf numFmtId="0" fontId="31" fillId="18" borderId="53" xfId="0" applyFont="1" applyFill="1" applyBorder="1" applyAlignment="1" applyProtection="1">
      <alignment vertical="center"/>
      <protection hidden="1"/>
    </xf>
    <xf numFmtId="0" fontId="61" fillId="18" borderId="0" xfId="0" applyFont="1" applyFill="1" applyProtection="1">
      <protection hidden="1"/>
    </xf>
    <xf numFmtId="0" fontId="62" fillId="18" borderId="0" xfId="0" applyFont="1" applyFill="1" applyProtection="1">
      <protection hidden="1"/>
    </xf>
    <xf numFmtId="0" fontId="62" fillId="18" borderId="0" xfId="0" applyFont="1" applyFill="1" applyBorder="1" applyProtection="1">
      <protection hidden="1"/>
    </xf>
    <xf numFmtId="0" fontId="31" fillId="18" borderId="57" xfId="0" applyFont="1" applyFill="1" applyBorder="1" applyAlignment="1" applyProtection="1">
      <alignment vertical="center"/>
      <protection hidden="1"/>
    </xf>
    <xf numFmtId="0" fontId="31" fillId="18" borderId="58" xfId="0" applyFont="1" applyFill="1" applyBorder="1" applyAlignment="1" applyProtection="1">
      <alignment horizontal="right" vertical="center"/>
      <protection hidden="1"/>
    </xf>
    <xf numFmtId="175" fontId="33" fillId="18" borderId="57" xfId="0" applyNumberFormat="1" applyFont="1" applyFill="1" applyBorder="1" applyAlignment="1" applyProtection="1">
      <alignment horizontal="right" vertical="center"/>
      <protection hidden="1"/>
    </xf>
    <xf numFmtId="175" fontId="33" fillId="18" borderId="58" xfId="0" applyNumberFormat="1" applyFont="1" applyFill="1" applyBorder="1" applyAlignment="1" applyProtection="1">
      <alignment horizontal="right" vertical="center"/>
      <protection hidden="1"/>
    </xf>
    <xf numFmtId="175" fontId="33" fillId="18" borderId="59" xfId="0" applyNumberFormat="1" applyFont="1" applyFill="1" applyBorder="1" applyAlignment="1" applyProtection="1">
      <alignment horizontal="right" vertical="center"/>
      <protection hidden="1"/>
    </xf>
    <xf numFmtId="0" fontId="31" fillId="18" borderId="59" xfId="0" applyFont="1" applyFill="1" applyBorder="1" applyAlignment="1" applyProtection="1">
      <alignment vertical="center"/>
      <protection hidden="1"/>
    </xf>
    <xf numFmtId="166" fontId="31" fillId="18" borderId="57" xfId="0" applyNumberFormat="1" applyFont="1" applyFill="1" applyBorder="1" applyAlignment="1" applyProtection="1">
      <alignment horizontal="right" vertical="center"/>
      <protection hidden="1"/>
    </xf>
    <xf numFmtId="166" fontId="31" fillId="18" borderId="58" xfId="0" applyNumberFormat="1" applyFont="1" applyFill="1" applyBorder="1" applyAlignment="1" applyProtection="1">
      <alignment horizontal="right" vertical="center"/>
      <protection hidden="1"/>
    </xf>
    <xf numFmtId="166" fontId="31" fillId="18" borderId="59" xfId="0" applyNumberFormat="1" applyFont="1" applyFill="1" applyBorder="1" applyAlignment="1" applyProtection="1">
      <alignment horizontal="right" vertical="center"/>
      <protection hidden="1"/>
    </xf>
    <xf numFmtId="3" fontId="31" fillId="18" borderId="57" xfId="0" applyNumberFormat="1" applyFont="1" applyFill="1" applyBorder="1" applyAlignment="1" applyProtection="1">
      <alignment horizontal="right" vertical="center"/>
      <protection hidden="1"/>
    </xf>
    <xf numFmtId="3" fontId="31" fillId="18" borderId="58" xfId="0" applyNumberFormat="1" applyFont="1" applyFill="1" applyBorder="1" applyAlignment="1" applyProtection="1">
      <alignment horizontal="right" vertical="center"/>
      <protection hidden="1"/>
    </xf>
    <xf numFmtId="3" fontId="31" fillId="18" borderId="59" xfId="0" applyNumberFormat="1" applyFont="1" applyFill="1" applyBorder="1" applyAlignment="1" applyProtection="1">
      <alignment horizontal="right" vertical="center"/>
      <protection hidden="1"/>
    </xf>
    <xf numFmtId="0" fontId="25" fillId="3" borderId="60" xfId="0" applyFont="1" applyFill="1" applyBorder="1" applyProtection="1">
      <protection hidden="1"/>
    </xf>
    <xf numFmtId="0" fontId="25" fillId="3" borderId="61" xfId="0" applyFont="1" applyFill="1" applyBorder="1" applyProtection="1">
      <protection hidden="1"/>
    </xf>
    <xf numFmtId="0" fontId="25" fillId="3" borderId="62" xfId="0" applyFont="1" applyFill="1" applyBorder="1" applyProtection="1">
      <protection hidden="1"/>
    </xf>
    <xf numFmtId="164" fontId="24" fillId="3" borderId="0" xfId="0" applyNumberFormat="1" applyFont="1" applyFill="1" applyBorder="1" applyProtection="1">
      <protection hidden="1"/>
    </xf>
    <xf numFmtId="0" fontId="33" fillId="18" borderId="48" xfId="0" applyFont="1" applyFill="1" applyBorder="1" applyAlignment="1" applyProtection="1">
      <alignment vertical="center"/>
      <protection hidden="1"/>
    </xf>
    <xf numFmtId="0" fontId="33" fillId="18" borderId="50" xfId="0" applyFont="1" applyFill="1" applyBorder="1" applyAlignment="1" applyProtection="1">
      <alignment vertical="center"/>
      <protection hidden="1"/>
    </xf>
    <xf numFmtId="3" fontId="33" fillId="23" borderId="48" xfId="0" applyNumberFormat="1" applyFont="1" applyFill="1" applyBorder="1" applyAlignment="1" applyProtection="1">
      <alignment horizontal="right" vertical="center"/>
      <protection locked="0"/>
    </xf>
    <xf numFmtId="3" fontId="33" fillId="23" borderId="50" xfId="0" applyNumberFormat="1" applyFont="1" applyFill="1" applyBorder="1" applyAlignment="1" applyProtection="1">
      <alignment horizontal="right" vertical="center"/>
      <protection locked="0"/>
    </xf>
    <xf numFmtId="3" fontId="33" fillId="3" borderId="50" xfId="0" applyNumberFormat="1" applyFont="1" applyFill="1" applyBorder="1" applyAlignment="1" applyProtection="1">
      <alignment horizontal="right" vertical="center"/>
      <protection hidden="1"/>
    </xf>
    <xf numFmtId="3" fontId="33" fillId="23" borderId="49" xfId="0" applyNumberFormat="1" applyFont="1" applyFill="1" applyBorder="1" applyAlignment="1" applyProtection="1">
      <alignment horizontal="right" vertical="center"/>
      <protection locked="0"/>
    </xf>
    <xf numFmtId="0" fontId="31" fillId="18" borderId="54" xfId="0" applyFont="1" applyFill="1" applyBorder="1" applyAlignment="1" applyProtection="1">
      <alignment vertical="center"/>
      <protection hidden="1"/>
    </xf>
    <xf numFmtId="0" fontId="31" fillId="18" borderId="49" xfId="0" applyFont="1" applyFill="1" applyBorder="1" applyAlignment="1" applyProtection="1">
      <alignment vertical="center"/>
      <protection hidden="1"/>
    </xf>
    <xf numFmtId="0" fontId="31" fillId="18" borderId="56" xfId="0" applyFont="1" applyFill="1" applyBorder="1" applyAlignment="1" applyProtection="1">
      <alignment vertical="center"/>
      <protection hidden="1"/>
    </xf>
    <xf numFmtId="10" fontId="31" fillId="18" borderId="55" xfId="0" applyNumberFormat="1" applyFont="1" applyFill="1" applyBorder="1" applyAlignment="1" applyProtection="1">
      <alignment horizontal="right" vertical="center"/>
      <protection hidden="1"/>
    </xf>
    <xf numFmtId="10" fontId="31" fillId="18" borderId="56" xfId="0" applyNumberFormat="1" applyFont="1" applyFill="1" applyBorder="1" applyAlignment="1" applyProtection="1">
      <alignment horizontal="right" vertical="center"/>
      <protection hidden="1"/>
    </xf>
    <xf numFmtId="0" fontId="53" fillId="18" borderId="48" xfId="0" applyFont="1" applyFill="1" applyBorder="1" applyProtection="1">
      <protection hidden="1"/>
    </xf>
    <xf numFmtId="0" fontId="53" fillId="18" borderId="50" xfId="0" applyFont="1" applyFill="1" applyBorder="1" applyProtection="1">
      <protection hidden="1"/>
    </xf>
    <xf numFmtId="0" fontId="53" fillId="18" borderId="49" xfId="0" applyFont="1" applyFill="1" applyBorder="1" applyProtection="1">
      <protection hidden="1"/>
    </xf>
    <xf numFmtId="3" fontId="33" fillId="18" borderId="57" xfId="0" applyNumberFormat="1" applyFont="1" applyFill="1" applyBorder="1" applyAlignment="1" applyProtection="1">
      <alignment horizontal="right" vertical="center"/>
      <protection hidden="1"/>
    </xf>
    <xf numFmtId="3" fontId="33" fillId="18" borderId="58" xfId="0" applyNumberFormat="1" applyFont="1" applyFill="1" applyBorder="1" applyAlignment="1" applyProtection="1">
      <alignment horizontal="right" vertical="center"/>
      <protection hidden="1"/>
    </xf>
    <xf numFmtId="3" fontId="33" fillId="18" borderId="59" xfId="0" applyNumberFormat="1" applyFont="1" applyFill="1" applyBorder="1" applyAlignment="1" applyProtection="1">
      <alignment horizontal="right" vertical="center"/>
      <protection hidden="1"/>
    </xf>
    <xf numFmtId="173" fontId="31" fillId="18" borderId="57" xfId="0" applyNumberFormat="1" applyFont="1" applyFill="1" applyBorder="1" applyAlignment="1" applyProtection="1">
      <alignment horizontal="right" vertical="center"/>
      <protection hidden="1"/>
    </xf>
    <xf numFmtId="173" fontId="31" fillId="18" borderId="58" xfId="0" applyNumberFormat="1" applyFont="1" applyFill="1" applyBorder="1" applyAlignment="1" applyProtection="1">
      <alignment horizontal="right" vertical="center"/>
      <protection hidden="1"/>
    </xf>
    <xf numFmtId="173" fontId="31" fillId="18" borderId="59" xfId="0" applyNumberFormat="1" applyFont="1" applyFill="1" applyBorder="1" applyAlignment="1" applyProtection="1">
      <alignment horizontal="right" vertical="center"/>
      <protection hidden="1"/>
    </xf>
    <xf numFmtId="0" fontId="25" fillId="3" borderId="63" xfId="0" applyFont="1" applyFill="1" applyBorder="1" applyProtection="1">
      <protection hidden="1"/>
    </xf>
    <xf numFmtId="0" fontId="25" fillId="3" borderId="5" xfId="0" applyFont="1" applyFill="1" applyBorder="1" applyProtection="1">
      <protection hidden="1"/>
    </xf>
    <xf numFmtId="164" fontId="24" fillId="3" borderId="5" xfId="0" applyNumberFormat="1" applyFont="1" applyFill="1" applyBorder="1" applyProtection="1">
      <protection hidden="1"/>
    </xf>
    <xf numFmtId="0" fontId="25" fillId="3" borderId="64" xfId="0" applyFont="1" applyFill="1" applyBorder="1" applyProtection="1">
      <protection hidden="1"/>
    </xf>
    <xf numFmtId="0" fontId="33" fillId="18" borderId="57" xfId="0" applyFont="1" applyFill="1" applyBorder="1" applyAlignment="1" applyProtection="1">
      <alignment vertical="center"/>
      <protection hidden="1"/>
    </xf>
    <xf numFmtId="0" fontId="33" fillId="18" borderId="59" xfId="0" applyFont="1" applyFill="1" applyBorder="1" applyAlignment="1" applyProtection="1">
      <alignment vertical="center"/>
      <protection hidden="1"/>
    </xf>
    <xf numFmtId="177" fontId="33" fillId="23" borderId="57" xfId="0" applyNumberFormat="1" applyFont="1" applyFill="1" applyBorder="1" applyAlignment="1" applyProtection="1">
      <alignment horizontal="right" vertical="center"/>
      <protection locked="0"/>
    </xf>
    <xf numFmtId="177" fontId="33" fillId="23" borderId="58" xfId="0" applyNumberFormat="1" applyFont="1" applyFill="1" applyBorder="1" applyAlignment="1" applyProtection="1">
      <alignment horizontal="right" vertical="center"/>
      <protection locked="0"/>
    </xf>
    <xf numFmtId="177" fontId="33" fillId="3" borderId="58" xfId="0" applyNumberFormat="1" applyFont="1" applyFill="1" applyBorder="1" applyAlignment="1" applyProtection="1">
      <alignment horizontal="right" vertical="center"/>
      <protection hidden="1"/>
    </xf>
    <xf numFmtId="177" fontId="33" fillId="23" borderId="59" xfId="0" applyNumberFormat="1" applyFont="1" applyFill="1" applyBorder="1" applyAlignment="1" applyProtection="1">
      <alignment horizontal="right" vertical="center"/>
      <protection locked="0"/>
    </xf>
    <xf numFmtId="0" fontId="61" fillId="18" borderId="48" xfId="0" applyFont="1" applyFill="1" applyBorder="1" applyProtection="1">
      <protection hidden="1"/>
    </xf>
    <xf numFmtId="0" fontId="61" fillId="18" borderId="50" xfId="0" applyFont="1" applyFill="1" applyBorder="1" applyProtection="1">
      <protection hidden="1"/>
    </xf>
    <xf numFmtId="0" fontId="61" fillId="18" borderId="49" xfId="0" applyFont="1" applyFill="1" applyBorder="1" applyProtection="1">
      <protection hidden="1"/>
    </xf>
    <xf numFmtId="0" fontId="62" fillId="18" borderId="55" xfId="0" applyFont="1" applyFill="1" applyBorder="1" applyProtection="1">
      <protection hidden="1"/>
    </xf>
    <xf numFmtId="0" fontId="62" fillId="18" borderId="56" xfId="0" applyFont="1" applyFill="1" applyBorder="1" applyProtection="1">
      <protection hidden="1"/>
    </xf>
    <xf numFmtId="0" fontId="62" fillId="18" borderId="52" xfId="0" applyFont="1" applyFill="1" applyBorder="1" applyProtection="1">
      <protection hidden="1"/>
    </xf>
    <xf numFmtId="0" fontId="62" fillId="18" borderId="54" xfId="0" applyFont="1" applyFill="1" applyBorder="1" applyProtection="1">
      <protection hidden="1"/>
    </xf>
    <xf numFmtId="0" fontId="62" fillId="18" borderId="53" xfId="0" applyFont="1" applyFill="1" applyBorder="1" applyProtection="1">
      <protection hidden="1"/>
    </xf>
    <xf numFmtId="0" fontId="31" fillId="18" borderId="59" xfId="0" applyFont="1" applyFill="1" applyBorder="1" applyAlignment="1" applyProtection="1">
      <alignment horizontal="right" vertical="center"/>
      <protection hidden="1"/>
    </xf>
    <xf numFmtId="178" fontId="33" fillId="18" borderId="57" xfId="0" applyNumberFormat="1" applyFont="1" applyFill="1" applyBorder="1" applyAlignment="1" applyProtection="1">
      <alignment horizontal="right" vertical="center"/>
      <protection hidden="1"/>
    </xf>
    <xf numFmtId="178" fontId="33" fillId="18" borderId="58" xfId="0" applyNumberFormat="1" applyFont="1" applyFill="1" applyBorder="1" applyAlignment="1" applyProtection="1">
      <alignment horizontal="right" vertical="center"/>
      <protection hidden="1"/>
    </xf>
    <xf numFmtId="178" fontId="33" fillId="18" borderId="59" xfId="0" applyNumberFormat="1" applyFont="1" applyFill="1" applyBorder="1" applyAlignment="1" applyProtection="1">
      <alignment horizontal="right" vertical="center"/>
      <protection hidden="1"/>
    </xf>
    <xf numFmtId="177" fontId="33" fillId="18" borderId="57" xfId="0" applyNumberFormat="1" applyFont="1" applyFill="1" applyBorder="1" applyAlignment="1" applyProtection="1">
      <alignment horizontal="right" vertical="center"/>
      <protection hidden="1"/>
    </xf>
    <xf numFmtId="177" fontId="33" fillId="18" borderId="58" xfId="0" applyNumberFormat="1" applyFont="1" applyFill="1" applyBorder="1" applyAlignment="1" applyProtection="1">
      <alignment horizontal="right" vertical="center"/>
      <protection hidden="1"/>
    </xf>
    <xf numFmtId="177" fontId="33" fillId="18" borderId="59" xfId="0" applyNumberFormat="1" applyFont="1" applyFill="1" applyBorder="1" applyAlignment="1" applyProtection="1">
      <alignment horizontal="right" vertical="center"/>
      <protection hidden="1"/>
    </xf>
    <xf numFmtId="10" fontId="31" fillId="18" borderId="57" xfId="0" applyNumberFormat="1" applyFont="1" applyFill="1" applyBorder="1" applyAlignment="1" applyProtection="1">
      <alignment horizontal="right" vertical="center"/>
      <protection hidden="1"/>
    </xf>
    <xf numFmtId="10" fontId="31" fillId="18" borderId="58" xfId="0" applyNumberFormat="1" applyFont="1" applyFill="1" applyBorder="1" applyAlignment="1" applyProtection="1">
      <alignment horizontal="right" vertical="center"/>
      <protection hidden="1"/>
    </xf>
    <xf numFmtId="10" fontId="31" fillId="18" borderId="59" xfId="0" applyNumberFormat="1" applyFont="1" applyFill="1" applyBorder="1" applyAlignment="1" applyProtection="1">
      <alignment horizontal="right" vertical="center"/>
      <protection hidden="1"/>
    </xf>
    <xf numFmtId="0" fontId="31" fillId="3" borderId="57" xfId="0" applyFont="1" applyFill="1" applyBorder="1" applyAlignment="1" applyProtection="1">
      <alignment vertical="center"/>
      <protection hidden="1"/>
    </xf>
    <xf numFmtId="0" fontId="31" fillId="3" borderId="59" xfId="0" applyFont="1" applyFill="1" applyBorder="1" applyAlignment="1" applyProtection="1">
      <alignment vertical="center"/>
      <protection hidden="1"/>
    </xf>
    <xf numFmtId="0" fontId="31" fillId="18" borderId="58" xfId="0" applyFont="1" applyFill="1" applyBorder="1" applyAlignment="1" applyProtection="1">
      <alignment vertical="center"/>
      <protection hidden="1"/>
    </xf>
    <xf numFmtId="0" fontId="41" fillId="2" borderId="0" xfId="0" applyFont="1" applyFill="1" applyAlignment="1">
      <alignment horizontal="left" indent="2"/>
    </xf>
    <xf numFmtId="177" fontId="33" fillId="23" borderId="48" xfId="0" applyNumberFormat="1" applyFont="1" applyFill="1" applyBorder="1" applyAlignment="1" applyProtection="1">
      <alignment horizontal="right" vertical="center"/>
      <protection locked="0"/>
    </xf>
    <xf numFmtId="177" fontId="33" fillId="23" borderId="50" xfId="0" applyNumberFormat="1" applyFont="1" applyFill="1" applyBorder="1" applyAlignment="1" applyProtection="1">
      <alignment horizontal="right" vertical="center"/>
      <protection locked="0"/>
    </xf>
    <xf numFmtId="177" fontId="33" fillId="3" borderId="50" xfId="0" applyNumberFormat="1" applyFont="1" applyFill="1" applyBorder="1" applyAlignment="1" applyProtection="1">
      <alignment horizontal="right" vertical="center"/>
      <protection hidden="1"/>
    </xf>
    <xf numFmtId="177" fontId="33" fillId="23" borderId="49" xfId="0" applyNumberFormat="1" applyFont="1" applyFill="1" applyBorder="1" applyAlignment="1" applyProtection="1">
      <alignment horizontal="right" vertical="center"/>
      <protection locked="0"/>
    </xf>
    <xf numFmtId="0" fontId="63" fillId="18" borderId="52" xfId="0" applyFont="1" applyFill="1" applyBorder="1" applyAlignment="1" applyProtection="1">
      <alignment vertical="center"/>
      <protection hidden="1"/>
    </xf>
    <xf numFmtId="0" fontId="64" fillId="18" borderId="53" xfId="0" applyFont="1" applyFill="1" applyBorder="1" applyAlignment="1" applyProtection="1">
      <alignment horizontal="right" vertical="center"/>
      <protection hidden="1"/>
    </xf>
    <xf numFmtId="174" fontId="63" fillId="18" borderId="52" xfId="0" applyNumberFormat="1" applyFont="1" applyFill="1" applyBorder="1" applyAlignment="1" applyProtection="1">
      <alignment horizontal="right" vertical="center"/>
      <protection hidden="1"/>
    </xf>
    <xf numFmtId="174" fontId="63" fillId="18" borderId="54" xfId="0" applyNumberFormat="1" applyFont="1" applyFill="1" applyBorder="1" applyAlignment="1" applyProtection="1">
      <alignment horizontal="right" vertical="center"/>
      <protection hidden="1"/>
    </xf>
    <xf numFmtId="174" fontId="63" fillId="18" borderId="53" xfId="0" applyNumberFormat="1" applyFont="1" applyFill="1" applyBorder="1" applyAlignment="1" applyProtection="1">
      <alignment horizontal="right" vertical="center"/>
      <protection hidden="1"/>
    </xf>
    <xf numFmtId="164" fontId="40" fillId="2" borderId="0" xfId="0" applyNumberFormat="1" applyFont="1" applyFill="1"/>
    <xf numFmtId="0" fontId="33" fillId="18" borderId="49" xfId="0" applyFont="1" applyFill="1" applyBorder="1" applyAlignment="1" applyProtection="1">
      <alignment vertical="center"/>
      <protection hidden="1"/>
    </xf>
    <xf numFmtId="0" fontId="31" fillId="3" borderId="55" xfId="0" applyFont="1" applyFill="1" applyBorder="1" applyAlignment="1" applyProtection="1">
      <alignment vertical="center"/>
      <protection hidden="1"/>
    </xf>
    <xf numFmtId="0" fontId="40" fillId="18" borderId="0" xfId="0" applyFont="1" applyFill="1" applyBorder="1" applyProtection="1">
      <protection hidden="1"/>
    </xf>
    <xf numFmtId="0" fontId="40" fillId="18" borderId="0" xfId="0" quotePrefix="1" applyFont="1" applyFill="1" applyAlignment="1" applyProtection="1">
      <alignment horizontal="center"/>
      <protection hidden="1"/>
    </xf>
    <xf numFmtId="0" fontId="40" fillId="18" borderId="0" xfId="0" applyFont="1" applyFill="1"/>
    <xf numFmtId="0" fontId="31" fillId="18" borderId="0" xfId="0" quotePrefix="1" applyFont="1" applyFill="1" applyAlignment="1" applyProtection="1">
      <alignment horizontal="right"/>
      <protection hidden="1"/>
    </xf>
    <xf numFmtId="0" fontId="35" fillId="5" borderId="0" xfId="0" applyFont="1" applyFill="1" applyBorder="1" applyProtection="1">
      <protection hidden="1"/>
    </xf>
    <xf numFmtId="0" fontId="35" fillId="13" borderId="0" xfId="0" applyFont="1" applyFill="1" applyBorder="1" applyProtection="1">
      <protection hidden="1"/>
    </xf>
    <xf numFmtId="0" fontId="35" fillId="13" borderId="0" xfId="0" applyFont="1" applyFill="1" applyProtection="1">
      <protection hidden="1"/>
    </xf>
    <xf numFmtId="0" fontId="35" fillId="13" borderId="0" xfId="0" applyFont="1" applyFill="1" applyAlignment="1" applyProtection="1">
      <alignment vertical="center"/>
      <protection hidden="1"/>
    </xf>
    <xf numFmtId="0" fontId="65" fillId="18" borderId="0" xfId="0" applyFont="1" applyFill="1" applyBorder="1" applyProtection="1">
      <protection hidden="1"/>
    </xf>
    <xf numFmtId="0" fontId="36" fillId="18" borderId="0" xfId="0" applyFont="1" applyFill="1" applyAlignment="1" applyProtection="1">
      <alignment horizontal="right"/>
      <protection hidden="1"/>
    </xf>
    <xf numFmtId="0" fontId="36" fillId="18" borderId="0" xfId="0" applyFont="1" applyFill="1" applyBorder="1" applyProtection="1">
      <protection hidden="1"/>
    </xf>
    <xf numFmtId="0" fontId="21" fillId="18" borderId="14" xfId="0" applyFont="1" applyFill="1" applyBorder="1" applyProtection="1">
      <protection hidden="1"/>
    </xf>
    <xf numFmtId="0" fontId="22" fillId="18" borderId="14" xfId="0" applyFont="1" applyFill="1" applyBorder="1" applyProtection="1">
      <protection hidden="1"/>
    </xf>
    <xf numFmtId="0" fontId="22" fillId="18" borderId="14" xfId="0" applyFont="1" applyFill="1" applyBorder="1" applyAlignment="1" applyProtection="1">
      <alignment horizontal="right"/>
      <protection hidden="1"/>
    </xf>
    <xf numFmtId="0" fontId="36" fillId="18" borderId="0" xfId="0" applyFont="1" applyFill="1" applyProtection="1">
      <protection hidden="1"/>
    </xf>
    <xf numFmtId="3" fontId="40" fillId="18" borderId="0" xfId="0" applyNumberFormat="1" applyFont="1" applyFill="1" applyProtection="1">
      <protection hidden="1"/>
    </xf>
    <xf numFmtId="0" fontId="36" fillId="18" borderId="5" xfId="0" applyFont="1" applyFill="1" applyBorder="1" applyProtection="1">
      <protection hidden="1"/>
    </xf>
    <xf numFmtId="3" fontId="36" fillId="18" borderId="5" xfId="0" applyNumberFormat="1" applyFont="1" applyFill="1" applyBorder="1" applyProtection="1">
      <protection hidden="1"/>
    </xf>
    <xf numFmtId="0" fontId="66" fillId="18" borderId="0" xfId="0" applyFont="1" applyFill="1" applyBorder="1" applyAlignment="1" applyProtection="1">
      <alignment vertical="top"/>
      <protection hidden="1"/>
    </xf>
    <xf numFmtId="3" fontId="66" fillId="18" borderId="0" xfId="0" applyNumberFormat="1" applyFont="1" applyFill="1" applyBorder="1" applyAlignment="1" applyProtection="1">
      <alignment vertical="top"/>
      <protection hidden="1"/>
    </xf>
    <xf numFmtId="166" fontId="66" fillId="18" borderId="0" xfId="0" applyNumberFormat="1" applyFont="1" applyFill="1" applyBorder="1" applyAlignment="1" applyProtection="1">
      <alignment vertical="top"/>
      <protection hidden="1"/>
    </xf>
    <xf numFmtId="3" fontId="36" fillId="18" borderId="0" xfId="0" applyNumberFormat="1" applyFont="1" applyFill="1" applyBorder="1" applyProtection="1">
      <protection hidden="1"/>
    </xf>
    <xf numFmtId="3" fontId="14" fillId="18" borderId="0" xfId="0" applyNumberFormat="1" applyFont="1" applyFill="1" applyProtection="1">
      <protection hidden="1"/>
    </xf>
    <xf numFmtId="0" fontId="66" fillId="18" borderId="5" xfId="0" applyFont="1" applyFill="1" applyBorder="1" applyProtection="1">
      <protection hidden="1"/>
    </xf>
    <xf numFmtId="166" fontId="66" fillId="18" borderId="5" xfId="0" applyNumberFormat="1" applyFont="1" applyFill="1" applyBorder="1" applyAlignment="1" applyProtection="1">
      <alignment horizontal="right"/>
      <protection hidden="1"/>
    </xf>
    <xf numFmtId="0" fontId="66" fillId="18" borderId="14" xfId="0" applyFont="1" applyFill="1" applyBorder="1" applyProtection="1">
      <protection hidden="1"/>
    </xf>
    <xf numFmtId="3" fontId="66" fillId="18" borderId="14" xfId="0" applyNumberFormat="1" applyFont="1" applyFill="1" applyBorder="1" applyAlignment="1" applyProtection="1">
      <alignment horizontal="right"/>
      <protection hidden="1"/>
    </xf>
    <xf numFmtId="0" fontId="36" fillId="18" borderId="65" xfId="0" applyFont="1" applyFill="1" applyBorder="1" applyProtection="1">
      <protection hidden="1"/>
    </xf>
    <xf numFmtId="3" fontId="36" fillId="18" borderId="65" xfId="0" applyNumberFormat="1" applyFont="1" applyFill="1" applyBorder="1" applyProtection="1">
      <protection hidden="1"/>
    </xf>
    <xf numFmtId="0" fontId="40" fillId="18" borderId="5" xfId="0" applyFont="1" applyFill="1" applyBorder="1" applyProtection="1">
      <protection hidden="1"/>
    </xf>
    <xf numFmtId="3" fontId="36" fillId="18" borderId="0" xfId="0" applyNumberFormat="1" applyFont="1" applyFill="1" applyProtection="1">
      <protection hidden="1"/>
    </xf>
    <xf numFmtId="0" fontId="67" fillId="18" borderId="0" xfId="0" applyFont="1" applyFill="1" applyBorder="1" applyProtection="1">
      <protection hidden="1"/>
    </xf>
    <xf numFmtId="0" fontId="40" fillId="18" borderId="14" xfId="0" applyFont="1" applyFill="1" applyBorder="1" applyProtection="1">
      <protection hidden="1"/>
    </xf>
    <xf numFmtId="3" fontId="40" fillId="18" borderId="14" xfId="0" applyNumberFormat="1" applyFont="1" applyFill="1" applyBorder="1" applyProtection="1">
      <protection hidden="1"/>
    </xf>
    <xf numFmtId="3" fontId="14" fillId="18" borderId="14" xfId="0" applyNumberFormat="1" applyFont="1" applyFill="1" applyBorder="1" applyProtection="1">
      <protection hidden="1"/>
    </xf>
    <xf numFmtId="0" fontId="40" fillId="18" borderId="0" xfId="0" applyFont="1" applyFill="1" applyBorder="1"/>
    <xf numFmtId="168" fontId="42" fillId="14" borderId="3" xfId="0" applyNumberFormat="1" applyFont="1" applyFill="1" applyBorder="1" applyAlignment="1" applyProtection="1">
      <alignment horizontal="right"/>
      <protection hidden="1"/>
    </xf>
    <xf numFmtId="1" fontId="31" fillId="18" borderId="3" xfId="0" applyNumberFormat="1" applyFont="1" applyFill="1" applyBorder="1" applyAlignment="1" applyProtection="1">
      <alignment horizontal="right"/>
      <protection hidden="1"/>
    </xf>
    <xf numFmtId="3" fontId="33" fillId="23" borderId="3" xfId="0" applyNumberFormat="1" applyFont="1" applyFill="1" applyBorder="1" applyAlignment="1" applyProtection="1">
      <alignment vertical="center"/>
      <protection locked="0"/>
    </xf>
    <xf numFmtId="0" fontId="42" fillId="11" borderId="88" xfId="0" quotePrefix="1" applyFont="1" applyFill="1" applyBorder="1" applyAlignment="1" applyProtection="1">
      <alignment horizontal="right"/>
      <protection hidden="1"/>
    </xf>
    <xf numFmtId="168" fontId="42" fillId="14" borderId="88" xfId="0" applyNumberFormat="1" applyFont="1" applyFill="1" applyBorder="1" applyAlignment="1" applyProtection="1">
      <alignment horizontal="right"/>
      <protection hidden="1"/>
    </xf>
    <xf numFmtId="168" fontId="42" fillId="13" borderId="88" xfId="0" applyNumberFormat="1" applyFont="1" applyFill="1" applyBorder="1" applyAlignment="1" applyProtection="1">
      <alignment horizontal="right"/>
      <protection hidden="1"/>
    </xf>
    <xf numFmtId="0" fontId="31" fillId="18" borderId="88" xfId="0" quotePrefix="1" applyFont="1" applyFill="1" applyBorder="1" applyAlignment="1" applyProtection="1">
      <protection hidden="1"/>
    </xf>
    <xf numFmtId="1" fontId="31" fillId="18" borderId="88" xfId="0" applyNumberFormat="1" applyFont="1" applyFill="1" applyBorder="1" applyAlignment="1" applyProtection="1">
      <alignment horizontal="right"/>
      <protection hidden="1"/>
    </xf>
    <xf numFmtId="0" fontId="31" fillId="18" borderId="88" xfId="0" applyFont="1" applyFill="1" applyBorder="1" applyAlignment="1" applyProtection="1">
      <alignment vertical="center"/>
      <protection hidden="1"/>
    </xf>
    <xf numFmtId="3" fontId="33" fillId="23" borderId="88" xfId="0" applyNumberFormat="1" applyFont="1" applyFill="1" applyBorder="1" applyAlignment="1" applyProtection="1">
      <alignment vertical="center"/>
      <protection locked="0"/>
    </xf>
    <xf numFmtId="3" fontId="33" fillId="23" borderId="6" xfId="0" applyNumberFormat="1" applyFont="1" applyFill="1" applyBorder="1" applyAlignment="1" applyProtection="1">
      <alignment horizontal="right"/>
      <protection locked="0"/>
    </xf>
    <xf numFmtId="3" fontId="31" fillId="18" borderId="88" xfId="0" applyNumberFormat="1" applyFont="1" applyFill="1" applyBorder="1" applyAlignment="1" applyProtection="1">
      <protection hidden="1"/>
    </xf>
    <xf numFmtId="3" fontId="31" fillId="18" borderId="89" xfId="0" applyNumberFormat="1" applyFont="1" applyFill="1" applyBorder="1" applyAlignment="1" applyProtection="1">
      <protection hidden="1"/>
    </xf>
    <xf numFmtId="3" fontId="33" fillId="23" borderId="89" xfId="0" applyNumberFormat="1" applyFont="1" applyFill="1" applyBorder="1" applyAlignment="1" applyProtection="1">
      <alignment horizontal="right"/>
      <protection locked="0"/>
    </xf>
    <xf numFmtId="3" fontId="31" fillId="18" borderId="90" xfId="0" applyNumberFormat="1" applyFont="1" applyFill="1" applyBorder="1" applyAlignment="1" applyProtection="1">
      <protection hidden="1"/>
    </xf>
    <xf numFmtId="3" fontId="31" fillId="18" borderId="90" xfId="0" applyNumberFormat="1" applyFont="1" applyFill="1" applyBorder="1" applyAlignment="1" applyProtection="1">
      <alignment horizontal="right"/>
      <protection hidden="1"/>
    </xf>
    <xf numFmtId="3" fontId="31" fillId="7" borderId="15" xfId="0" applyNumberFormat="1" applyFont="1" applyFill="1" applyBorder="1" applyAlignment="1" applyProtection="1">
      <alignment horizontal="right"/>
      <protection hidden="1"/>
    </xf>
    <xf numFmtId="3" fontId="31" fillId="7" borderId="90" xfId="0" applyNumberFormat="1" applyFont="1" applyFill="1" applyBorder="1" applyAlignment="1" applyProtection="1">
      <protection hidden="1"/>
    </xf>
    <xf numFmtId="3" fontId="31" fillId="7" borderId="90" xfId="0" applyNumberFormat="1" applyFont="1" applyFill="1" applyBorder="1" applyAlignment="1" applyProtection="1">
      <alignment horizontal="right"/>
      <protection hidden="1"/>
    </xf>
    <xf numFmtId="3" fontId="33" fillId="18" borderId="6" xfId="0" applyNumberFormat="1" applyFont="1" applyFill="1" applyBorder="1" applyAlignment="1" applyProtection="1">
      <alignment horizontal="right"/>
      <protection hidden="1"/>
    </xf>
    <xf numFmtId="3" fontId="31" fillId="18" borderId="8" xfId="0" applyNumberFormat="1" applyFont="1" applyFill="1" applyBorder="1" applyAlignment="1" applyProtection="1">
      <alignment horizontal="right"/>
      <protection hidden="1"/>
    </xf>
    <xf numFmtId="3" fontId="31" fillId="7" borderId="8" xfId="0" applyNumberFormat="1" applyFont="1" applyFill="1" applyBorder="1" applyAlignment="1" applyProtection="1">
      <protection hidden="1"/>
    </xf>
    <xf numFmtId="3" fontId="31" fillId="7" borderId="8" xfId="0" applyNumberFormat="1" applyFont="1" applyFill="1" applyBorder="1" applyAlignment="1" applyProtection="1">
      <alignment horizontal="right"/>
      <protection hidden="1"/>
    </xf>
    <xf numFmtId="3" fontId="33" fillId="18" borderId="89" xfId="0" applyNumberFormat="1" applyFont="1" applyFill="1" applyBorder="1" applyAlignment="1" applyProtection="1">
      <alignment horizontal="right"/>
      <protection hidden="1"/>
    </xf>
    <xf numFmtId="3" fontId="31" fillId="18" borderId="91" xfId="0" applyNumberFormat="1" applyFont="1" applyFill="1" applyBorder="1" applyAlignment="1" applyProtection="1">
      <protection hidden="1"/>
    </xf>
    <xf numFmtId="3" fontId="31" fillId="18" borderId="91" xfId="0" applyNumberFormat="1" applyFont="1" applyFill="1" applyBorder="1" applyAlignment="1" applyProtection="1">
      <alignment horizontal="right"/>
      <protection hidden="1"/>
    </xf>
    <xf numFmtId="3" fontId="31" fillId="7" borderId="91" xfId="0" applyNumberFormat="1" applyFont="1" applyFill="1" applyBorder="1" applyAlignment="1" applyProtection="1">
      <protection hidden="1"/>
    </xf>
    <xf numFmtId="3" fontId="31" fillId="7" borderId="91" xfId="0" applyNumberFormat="1" applyFont="1" applyFill="1" applyBorder="1" applyAlignment="1" applyProtection="1">
      <alignment horizontal="right"/>
      <protection hidden="1"/>
    </xf>
    <xf numFmtId="3" fontId="47" fillId="18" borderId="15" xfId="0" applyNumberFormat="1" applyFont="1" applyFill="1" applyBorder="1" applyAlignment="1" applyProtection="1">
      <alignment horizontal="right"/>
      <protection hidden="1"/>
    </xf>
    <xf numFmtId="0" fontId="47" fillId="18" borderId="89" xfId="0" applyFont="1" applyFill="1" applyBorder="1" applyAlignment="1" applyProtection="1">
      <protection hidden="1"/>
    </xf>
    <xf numFmtId="3" fontId="47" fillId="18" borderId="89" xfId="0" applyNumberFormat="1" applyFont="1" applyFill="1" applyBorder="1" applyAlignment="1" applyProtection="1">
      <alignment horizontal="right"/>
      <protection hidden="1"/>
    </xf>
    <xf numFmtId="0" fontId="47" fillId="18" borderId="91" xfId="0" applyFont="1" applyFill="1" applyBorder="1" applyAlignment="1" applyProtection="1">
      <protection hidden="1"/>
    </xf>
    <xf numFmtId="3" fontId="47" fillId="18" borderId="91" xfId="0" applyNumberFormat="1" applyFont="1" applyFill="1" applyBorder="1" applyAlignment="1" applyProtection="1">
      <alignment horizontal="right"/>
      <protection hidden="1"/>
    </xf>
    <xf numFmtId="0" fontId="47" fillId="18" borderId="90" xfId="0" applyFont="1" applyFill="1" applyBorder="1" applyAlignment="1" applyProtection="1">
      <protection hidden="1"/>
    </xf>
    <xf numFmtId="3" fontId="47" fillId="18" borderId="90" xfId="0" applyNumberFormat="1" applyFont="1" applyFill="1" applyBorder="1" applyAlignment="1" applyProtection="1">
      <alignment horizontal="right"/>
      <protection hidden="1"/>
    </xf>
    <xf numFmtId="0" fontId="47" fillId="18" borderId="88" xfId="0" applyFont="1" applyFill="1" applyBorder="1" applyAlignment="1" applyProtection="1">
      <protection hidden="1"/>
    </xf>
    <xf numFmtId="3" fontId="47" fillId="18" borderId="88" xfId="0" applyNumberFormat="1" applyFont="1" applyFill="1" applyBorder="1" applyAlignment="1" applyProtection="1">
      <alignment horizontal="right"/>
      <protection hidden="1"/>
    </xf>
    <xf numFmtId="3" fontId="31" fillId="18" borderId="6" xfId="0" applyNumberFormat="1" applyFont="1" applyFill="1" applyBorder="1" applyAlignment="1" applyProtection="1">
      <alignment horizontal="right"/>
      <protection hidden="1"/>
    </xf>
    <xf numFmtId="3" fontId="47" fillId="18" borderId="89" xfId="0" quotePrefix="1" applyNumberFormat="1" applyFont="1" applyFill="1" applyBorder="1" applyAlignment="1" applyProtection="1">
      <protection hidden="1"/>
    </xf>
    <xf numFmtId="3" fontId="47" fillId="18" borderId="90" xfId="0" quotePrefix="1" applyNumberFormat="1" applyFont="1" applyFill="1" applyBorder="1" applyAlignment="1" applyProtection="1">
      <protection hidden="1"/>
    </xf>
    <xf numFmtId="4" fontId="31" fillId="23" borderId="90" xfId="0" applyNumberFormat="1" applyFont="1" applyFill="1" applyBorder="1" applyAlignment="1" applyProtection="1">
      <alignment horizontal="right"/>
      <protection locked="0"/>
    </xf>
    <xf numFmtId="3" fontId="31" fillId="18" borderId="89" xfId="0" quotePrefix="1" applyNumberFormat="1" applyFont="1" applyFill="1" applyBorder="1" applyAlignment="1" applyProtection="1">
      <protection hidden="1"/>
    </xf>
    <xf numFmtId="3" fontId="31" fillId="23" borderId="89" xfId="0" applyNumberFormat="1" applyFont="1" applyFill="1" applyBorder="1" applyAlignment="1" applyProtection="1">
      <protection locked="0"/>
    </xf>
    <xf numFmtId="3" fontId="31" fillId="18" borderId="91" xfId="0" quotePrefix="1" applyNumberFormat="1" applyFont="1" applyFill="1" applyBorder="1" applyAlignment="1" applyProtection="1">
      <protection hidden="1"/>
    </xf>
    <xf numFmtId="3" fontId="31" fillId="23" borderId="91" xfId="0" applyNumberFormat="1" applyFont="1" applyFill="1" applyBorder="1" applyAlignment="1" applyProtection="1">
      <alignment horizontal="right"/>
      <protection locked="0"/>
    </xf>
    <xf numFmtId="3" fontId="31" fillId="18" borderId="90" xfId="0" quotePrefix="1" applyNumberFormat="1" applyFont="1" applyFill="1" applyBorder="1" applyAlignment="1" applyProtection="1">
      <protection hidden="1"/>
    </xf>
    <xf numFmtId="3" fontId="31" fillId="23" borderId="90" xfId="0" applyNumberFormat="1" applyFont="1" applyFill="1" applyBorder="1" applyAlignment="1" applyProtection="1">
      <alignment horizontal="right"/>
      <protection locked="0"/>
    </xf>
    <xf numFmtId="3" fontId="47" fillId="18" borderId="91" xfId="0" quotePrefix="1" applyNumberFormat="1" applyFont="1" applyFill="1" applyBorder="1" applyAlignment="1" applyProtection="1">
      <protection hidden="1"/>
    </xf>
    <xf numFmtId="3" fontId="47" fillId="18" borderId="88" xfId="0" quotePrefix="1" applyNumberFormat="1" applyFont="1" applyFill="1" applyBorder="1" applyAlignment="1" applyProtection="1">
      <protection hidden="1"/>
    </xf>
    <xf numFmtId="3" fontId="47" fillId="7" borderId="91" xfId="0" applyNumberFormat="1" applyFont="1" applyFill="1" applyBorder="1" applyAlignment="1" applyProtection="1">
      <alignment horizontal="right"/>
      <protection hidden="1"/>
    </xf>
    <xf numFmtId="3" fontId="47" fillId="18" borderId="92" xfId="0" quotePrefix="1" applyNumberFormat="1" applyFont="1" applyFill="1" applyBorder="1" applyAlignment="1" applyProtection="1">
      <protection hidden="1"/>
    </xf>
    <xf numFmtId="3" fontId="31" fillId="23" borderId="92" xfId="0" applyNumberFormat="1" applyFont="1" applyFill="1" applyBorder="1" applyAlignment="1" applyProtection="1">
      <alignment horizontal="right"/>
      <protection locked="0"/>
    </xf>
    <xf numFmtId="3" fontId="47" fillId="18" borderId="91" xfId="0" quotePrefix="1" applyNumberFormat="1" applyFont="1" applyFill="1" applyBorder="1" applyAlignment="1" applyProtection="1">
      <alignment vertical="center"/>
      <protection hidden="1"/>
    </xf>
    <xf numFmtId="3" fontId="47" fillId="18" borderId="91" xfId="0" applyNumberFormat="1" applyFont="1" applyFill="1" applyBorder="1" applyAlignment="1" applyProtection="1">
      <alignment horizontal="right" vertical="center"/>
      <protection hidden="1"/>
    </xf>
    <xf numFmtId="3" fontId="47" fillId="18" borderId="93" xfId="0" quotePrefix="1" applyNumberFormat="1" applyFont="1" applyFill="1" applyBorder="1" applyAlignment="1" applyProtection="1">
      <protection hidden="1"/>
    </xf>
    <xf numFmtId="3" fontId="47" fillId="18" borderId="93" xfId="0" applyNumberFormat="1" applyFont="1" applyFill="1" applyBorder="1" applyAlignment="1" applyProtection="1">
      <alignment horizontal="right"/>
      <protection hidden="1"/>
    </xf>
    <xf numFmtId="3" fontId="47" fillId="18" borderId="92" xfId="0" applyNumberFormat="1" applyFont="1" applyFill="1" applyBorder="1" applyAlignment="1" applyProtection="1">
      <alignment horizontal="right"/>
      <protection hidden="1"/>
    </xf>
    <xf numFmtId="3" fontId="47" fillId="7" borderId="93" xfId="0" applyNumberFormat="1" applyFont="1" applyFill="1" applyBorder="1" applyAlignment="1" applyProtection="1">
      <alignment horizontal="right"/>
      <protection hidden="1"/>
    </xf>
    <xf numFmtId="1" fontId="27" fillId="18" borderId="8" xfId="0" applyNumberFormat="1" applyFont="1" applyFill="1" applyBorder="1" applyAlignment="1" applyProtection="1">
      <alignment horizontal="right"/>
      <protection hidden="1"/>
    </xf>
    <xf numFmtId="171" fontId="31" fillId="23" borderId="8" xfId="0" applyNumberFormat="1" applyFont="1" applyFill="1" applyBorder="1" applyProtection="1">
      <protection locked="0"/>
    </xf>
    <xf numFmtId="171" fontId="31" fillId="23" borderId="27" xfId="0" applyNumberFormat="1" applyFont="1" applyFill="1" applyBorder="1" applyProtection="1">
      <protection locked="0"/>
    </xf>
    <xf numFmtId="3" fontId="33" fillId="18" borderId="6" xfId="0" applyNumberFormat="1" applyFont="1" applyFill="1" applyBorder="1" applyProtection="1">
      <protection hidden="1"/>
    </xf>
    <xf numFmtId="3" fontId="50" fillId="18" borderId="8" xfId="0" applyNumberFormat="1" applyFont="1" applyFill="1" applyBorder="1" applyProtection="1">
      <protection hidden="1"/>
    </xf>
    <xf numFmtId="3" fontId="31" fillId="23" borderId="8" xfId="0" applyNumberFormat="1" applyFont="1" applyFill="1" applyBorder="1" applyProtection="1">
      <protection locked="0"/>
    </xf>
    <xf numFmtId="3" fontId="31" fillId="23" borderId="21" xfId="0" applyNumberFormat="1" applyFont="1" applyFill="1" applyBorder="1" applyProtection="1">
      <protection locked="0"/>
    </xf>
    <xf numFmtId="173" fontId="50" fillId="18" borderId="8" xfId="0" applyNumberFormat="1" applyFont="1" applyFill="1" applyBorder="1" applyProtection="1">
      <protection hidden="1"/>
    </xf>
    <xf numFmtId="3" fontId="31" fillId="23" borderId="24" xfId="0" applyNumberFormat="1" applyFont="1" applyFill="1" applyBorder="1" applyProtection="1">
      <protection locked="0"/>
    </xf>
    <xf numFmtId="3" fontId="31" fillId="18" borderId="8" xfId="0" applyNumberFormat="1" applyFont="1" applyFill="1" applyBorder="1" applyAlignment="1" applyProtection="1">
      <protection hidden="1"/>
    </xf>
    <xf numFmtId="3" fontId="27" fillId="18" borderId="8" xfId="0" applyNumberFormat="1" applyFont="1" applyFill="1" applyBorder="1" applyProtection="1">
      <protection hidden="1"/>
    </xf>
    <xf numFmtId="173" fontId="50" fillId="18" borderId="15" xfId="0" applyNumberFormat="1" applyFont="1" applyFill="1" applyBorder="1" applyProtection="1">
      <protection hidden="1"/>
    </xf>
    <xf numFmtId="0" fontId="31" fillId="18" borderId="91" xfId="0" quotePrefix="1" applyFont="1" applyFill="1" applyBorder="1" applyAlignment="1" applyProtection="1">
      <protection hidden="1"/>
    </xf>
    <xf numFmtId="1" fontId="27" fillId="18" borderId="91" xfId="0" applyNumberFormat="1" applyFont="1" applyFill="1" applyBorder="1" applyAlignment="1" applyProtection="1">
      <alignment horizontal="right"/>
      <protection hidden="1"/>
    </xf>
    <xf numFmtId="171" fontId="31" fillId="23" borderId="91" xfId="0" applyNumberFormat="1" applyFont="1" applyFill="1" applyBorder="1" applyProtection="1">
      <protection locked="0"/>
    </xf>
    <xf numFmtId="171" fontId="31" fillId="18" borderId="91" xfId="0" applyNumberFormat="1" applyFont="1" applyFill="1" applyBorder="1" applyProtection="1">
      <protection hidden="1"/>
    </xf>
    <xf numFmtId="171" fontId="31" fillId="23" borderId="94" xfId="0" applyNumberFormat="1" applyFont="1" applyFill="1" applyBorder="1" applyProtection="1">
      <protection locked="0"/>
    </xf>
    <xf numFmtId="3" fontId="33" fillId="18" borderId="89" xfId="0" applyNumberFormat="1" applyFont="1" applyFill="1" applyBorder="1" applyProtection="1">
      <protection hidden="1"/>
    </xf>
    <xf numFmtId="3" fontId="50" fillId="18" borderId="91" xfId="0" applyNumberFormat="1" applyFont="1" applyFill="1" applyBorder="1" applyProtection="1">
      <protection hidden="1"/>
    </xf>
    <xf numFmtId="172" fontId="50" fillId="18" borderId="91" xfId="0" applyNumberFormat="1" applyFont="1" applyFill="1" applyBorder="1" applyProtection="1">
      <protection hidden="1"/>
    </xf>
    <xf numFmtId="3" fontId="31" fillId="23" borderId="91" xfId="0" applyNumberFormat="1" applyFont="1" applyFill="1" applyBorder="1" applyProtection="1">
      <protection locked="0"/>
    </xf>
    <xf numFmtId="3" fontId="31" fillId="18" borderId="91" xfId="0" applyNumberFormat="1" applyFont="1" applyFill="1" applyBorder="1" applyProtection="1">
      <protection hidden="1"/>
    </xf>
    <xf numFmtId="3" fontId="31" fillId="18" borderId="93" xfId="0" applyNumberFormat="1" applyFont="1" applyFill="1" applyBorder="1" applyProtection="1">
      <protection hidden="1"/>
    </xf>
    <xf numFmtId="3" fontId="31" fillId="23" borderId="92" xfId="0" applyNumberFormat="1" applyFont="1" applyFill="1" applyBorder="1" applyProtection="1">
      <protection locked="0"/>
    </xf>
    <xf numFmtId="3" fontId="31" fillId="18" borderId="92" xfId="0" applyNumberFormat="1" applyFont="1" applyFill="1" applyBorder="1" applyProtection="1">
      <protection hidden="1"/>
    </xf>
    <xf numFmtId="3" fontId="31" fillId="23" borderId="90" xfId="0" applyNumberFormat="1" applyFont="1" applyFill="1" applyBorder="1" applyProtection="1">
      <protection locked="0"/>
    </xf>
    <xf numFmtId="173" fontId="50" fillId="18" borderId="91" xfId="0" applyNumberFormat="1" applyFont="1" applyFill="1" applyBorder="1" applyProtection="1">
      <protection hidden="1"/>
    </xf>
    <xf numFmtId="3" fontId="31" fillId="23" borderId="93" xfId="0" applyNumberFormat="1" applyFont="1" applyFill="1" applyBorder="1" applyProtection="1">
      <protection locked="0"/>
    </xf>
    <xf numFmtId="3" fontId="31" fillId="23" borderId="91" xfId="0" applyNumberFormat="1" applyFont="1" applyFill="1" applyBorder="1" applyAlignment="1" applyProtection="1">
      <protection locked="0"/>
    </xf>
    <xf numFmtId="3" fontId="31" fillId="0" borderId="91" xfId="0" applyNumberFormat="1" applyFont="1" applyFill="1" applyBorder="1" applyAlignment="1" applyProtection="1">
      <protection hidden="1"/>
    </xf>
    <xf numFmtId="3" fontId="52" fillId="18" borderId="91" xfId="0" applyNumberFormat="1" applyFont="1" applyFill="1" applyBorder="1" applyProtection="1">
      <protection hidden="1"/>
    </xf>
    <xf numFmtId="3" fontId="27" fillId="18" borderId="91" xfId="0" applyNumberFormat="1" applyFont="1" applyFill="1" applyBorder="1" applyProtection="1">
      <protection hidden="1"/>
    </xf>
    <xf numFmtId="173" fontId="50" fillId="18" borderId="90" xfId="0" applyNumberFormat="1" applyFont="1" applyFill="1" applyBorder="1" applyProtection="1">
      <protection hidden="1"/>
    </xf>
    <xf numFmtId="3" fontId="52" fillId="18" borderId="90" xfId="0" applyNumberFormat="1" applyFont="1" applyFill="1" applyBorder="1" applyProtection="1">
      <protection hidden="1"/>
    </xf>
    <xf numFmtId="173" fontId="33" fillId="18" borderId="6" xfId="0" applyNumberFormat="1" applyFont="1" applyFill="1" applyBorder="1" applyAlignment="1" applyProtection="1">
      <alignment horizontal="right"/>
      <protection hidden="1"/>
    </xf>
    <xf numFmtId="3" fontId="33" fillId="18" borderId="15" xfId="0" applyNumberFormat="1" applyFont="1" applyFill="1" applyBorder="1" applyAlignment="1" applyProtection="1">
      <alignment horizontal="right"/>
      <protection hidden="1"/>
    </xf>
    <xf numFmtId="173" fontId="33" fillId="18" borderId="89" xfId="0" applyNumberFormat="1" applyFont="1" applyFill="1" applyBorder="1" applyAlignment="1" applyProtection="1">
      <alignment horizontal="right"/>
      <protection hidden="1"/>
    </xf>
    <xf numFmtId="173" fontId="31" fillId="18" borderId="89" xfId="0" applyNumberFormat="1" applyFont="1" applyFill="1" applyBorder="1" applyAlignment="1" applyProtection="1">
      <alignment horizontal="right"/>
      <protection hidden="1"/>
    </xf>
    <xf numFmtId="3" fontId="33" fillId="18" borderId="90" xfId="0" applyNumberFormat="1" applyFont="1" applyFill="1" applyBorder="1" applyAlignment="1" applyProtection="1">
      <alignment horizontal="right"/>
      <protection hidden="1"/>
    </xf>
    <xf numFmtId="3" fontId="46" fillId="18" borderId="91" xfId="0" applyNumberFormat="1" applyFont="1" applyFill="1" applyBorder="1" applyAlignment="1" applyProtection="1">
      <alignment horizontal="right"/>
      <protection hidden="1"/>
    </xf>
    <xf numFmtId="3" fontId="31" fillId="18" borderId="89" xfId="0" applyNumberFormat="1" applyFont="1" applyFill="1" applyBorder="1" applyAlignment="1" applyProtection="1">
      <alignment horizontal="right"/>
      <protection hidden="1"/>
    </xf>
    <xf numFmtId="173" fontId="46" fillId="18" borderId="6" xfId="0" applyNumberFormat="1" applyFont="1" applyFill="1" applyBorder="1" applyAlignment="1" applyProtection="1">
      <alignment horizontal="right"/>
      <protection hidden="1"/>
    </xf>
    <xf numFmtId="3" fontId="46" fillId="18" borderId="15" xfId="0" applyNumberFormat="1" applyFont="1" applyFill="1" applyBorder="1" applyAlignment="1" applyProtection="1">
      <alignment horizontal="right"/>
      <protection hidden="1"/>
    </xf>
    <xf numFmtId="173" fontId="47" fillId="18" borderId="89" xfId="0" applyNumberFormat="1" applyFont="1" applyFill="1" applyBorder="1" applyAlignment="1" applyProtection="1">
      <alignment horizontal="right"/>
      <protection hidden="1"/>
    </xf>
    <xf numFmtId="173" fontId="46" fillId="18" borderId="89" xfId="0" applyNumberFormat="1" applyFont="1" applyFill="1" applyBorder="1" applyAlignment="1" applyProtection="1">
      <alignment horizontal="right"/>
      <protection hidden="1"/>
    </xf>
    <xf numFmtId="3" fontId="46" fillId="18" borderId="90" xfId="0" applyNumberFormat="1" applyFont="1" applyFill="1" applyBorder="1" applyAlignment="1" applyProtection="1">
      <alignment horizontal="right"/>
      <protection hidden="1"/>
    </xf>
    <xf numFmtId="3" fontId="27" fillId="18" borderId="6" xfId="0" applyNumberFormat="1" applyFont="1" applyFill="1" applyBorder="1" applyProtection="1">
      <protection hidden="1"/>
    </xf>
    <xf numFmtId="3" fontId="31" fillId="18" borderId="15" xfId="0" applyNumberFormat="1" applyFont="1" applyFill="1" applyBorder="1" applyProtection="1">
      <protection hidden="1"/>
    </xf>
    <xf numFmtId="3" fontId="45" fillId="18" borderId="89" xfId="0" applyNumberFormat="1" applyFont="1" applyFill="1" applyBorder="1" applyAlignment="1" applyProtection="1">
      <protection hidden="1"/>
    </xf>
    <xf numFmtId="3" fontId="27" fillId="18" borderId="89" xfId="0" applyNumberFormat="1" applyFont="1" applyFill="1" applyBorder="1" applyProtection="1">
      <protection hidden="1"/>
    </xf>
    <xf numFmtId="3" fontId="31" fillId="18" borderId="89" xfId="0" applyNumberFormat="1" applyFont="1" applyFill="1" applyBorder="1" applyProtection="1">
      <protection hidden="1"/>
    </xf>
    <xf numFmtId="3" fontId="31" fillId="23" borderId="89" xfId="0" applyNumberFormat="1" applyFont="1" applyFill="1" applyBorder="1" applyProtection="1">
      <protection locked="0"/>
    </xf>
    <xf numFmtId="3" fontId="31" fillId="18" borderId="88" xfId="0" applyNumberFormat="1" applyFont="1" applyFill="1" applyBorder="1" applyProtection="1">
      <protection hidden="1"/>
    </xf>
    <xf numFmtId="3" fontId="31" fillId="18" borderId="90" xfId="0" applyNumberFormat="1" applyFont="1" applyFill="1" applyBorder="1" applyProtection="1">
      <protection hidden="1"/>
    </xf>
    <xf numFmtId="3" fontId="31" fillId="18" borderId="95" xfId="0" applyNumberFormat="1" applyFont="1" applyFill="1" applyBorder="1" applyAlignment="1" applyProtection="1">
      <protection hidden="1"/>
    </xf>
    <xf numFmtId="3" fontId="33" fillId="18" borderId="88" xfId="0" applyNumberFormat="1" applyFont="1" applyFill="1" applyBorder="1" applyProtection="1">
      <protection hidden="1"/>
    </xf>
    <xf numFmtId="1" fontId="31" fillId="18" borderId="91" xfId="0" applyNumberFormat="1" applyFont="1" applyFill="1" applyBorder="1" applyAlignment="1" applyProtection="1">
      <alignment horizontal="right"/>
      <protection hidden="1"/>
    </xf>
    <xf numFmtId="3" fontId="47" fillId="18" borderId="91" xfId="0" applyNumberFormat="1" applyFont="1" applyFill="1" applyBorder="1" applyAlignment="1" applyProtection="1">
      <protection hidden="1"/>
    </xf>
    <xf numFmtId="3" fontId="47" fillId="18" borderId="91" xfId="0" applyNumberFormat="1" applyFont="1" applyFill="1" applyBorder="1" applyProtection="1">
      <protection hidden="1"/>
    </xf>
    <xf numFmtId="3" fontId="31" fillId="18" borderId="96" xfId="0" applyNumberFormat="1" applyFont="1" applyFill="1" applyBorder="1" applyAlignment="1" applyProtection="1">
      <protection hidden="1"/>
    </xf>
    <xf numFmtId="3" fontId="33" fillId="18" borderId="96" xfId="0" applyNumberFormat="1" applyFont="1" applyFill="1" applyBorder="1" applyProtection="1">
      <protection hidden="1"/>
    </xf>
    <xf numFmtId="3" fontId="33" fillId="18" borderId="88" xfId="0" applyNumberFormat="1" applyFont="1" applyFill="1" applyBorder="1" applyAlignment="1" applyProtection="1">
      <protection hidden="1"/>
    </xf>
    <xf numFmtId="169" fontId="33" fillId="18" borderId="88" xfId="0" applyNumberFormat="1" applyFont="1" applyFill="1" applyBorder="1" applyProtection="1">
      <protection hidden="1"/>
    </xf>
    <xf numFmtId="3" fontId="31" fillId="18" borderId="88" xfId="0" applyNumberFormat="1" applyFont="1" applyFill="1" applyBorder="1" applyProtection="1">
      <protection locked="0"/>
    </xf>
    <xf numFmtId="3" fontId="31" fillId="23" borderId="88" xfId="0" applyNumberFormat="1" applyFont="1" applyFill="1" applyBorder="1" applyProtection="1">
      <protection locked="0"/>
    </xf>
    <xf numFmtId="3" fontId="44" fillId="18" borderId="89" xfId="0" applyNumberFormat="1" applyFont="1" applyFill="1" applyBorder="1" applyAlignment="1" applyProtection="1">
      <protection hidden="1"/>
    </xf>
    <xf numFmtId="3" fontId="44" fillId="18" borderId="90" xfId="0" applyNumberFormat="1" applyFont="1" applyFill="1" applyBorder="1" applyAlignment="1" applyProtection="1">
      <protection hidden="1"/>
    </xf>
    <xf numFmtId="3" fontId="33" fillId="18" borderId="96" xfId="0" applyNumberFormat="1" applyFont="1" applyFill="1" applyBorder="1" applyAlignment="1" applyProtection="1">
      <protection hidden="1"/>
    </xf>
    <xf numFmtId="3" fontId="33" fillId="18" borderId="91" xfId="0" applyNumberFormat="1" applyFont="1" applyFill="1" applyBorder="1" applyAlignment="1" applyProtection="1">
      <protection hidden="1"/>
    </xf>
    <xf numFmtId="3" fontId="33" fillId="18" borderId="90" xfId="0" applyNumberFormat="1" applyFont="1" applyFill="1" applyBorder="1" applyAlignment="1" applyProtection="1">
      <protection hidden="1"/>
    </xf>
    <xf numFmtId="3" fontId="27" fillId="18" borderId="91" xfId="0" applyNumberFormat="1" applyFont="1" applyFill="1" applyBorder="1" applyAlignment="1" applyProtection="1">
      <protection hidden="1"/>
    </xf>
    <xf numFmtId="0" fontId="31" fillId="18" borderId="89" xfId="0" quotePrefix="1" applyFont="1" applyFill="1" applyBorder="1" applyAlignment="1" applyProtection="1">
      <protection hidden="1"/>
    </xf>
    <xf numFmtId="1" fontId="31" fillId="18" borderId="89" xfId="0" applyNumberFormat="1" applyFont="1" applyFill="1" applyBorder="1" applyAlignment="1" applyProtection="1">
      <alignment horizontal="right"/>
      <protection hidden="1"/>
    </xf>
    <xf numFmtId="3" fontId="31" fillId="7" borderId="91" xfId="0" applyNumberFormat="1" applyFont="1" applyFill="1" applyBorder="1" applyProtection="1">
      <protection hidden="1"/>
    </xf>
    <xf numFmtId="3" fontId="31" fillId="18" borderId="89" xfId="0" applyNumberFormat="1" applyFont="1" applyFill="1" applyBorder="1" applyAlignment="1" applyProtection="1">
      <alignment vertical="center"/>
      <protection hidden="1"/>
    </xf>
    <xf numFmtId="3" fontId="31" fillId="23" borderId="91" xfId="0" applyNumberFormat="1" applyFont="1" applyFill="1" applyBorder="1" applyAlignment="1" applyProtection="1">
      <alignment vertical="center"/>
      <protection locked="0"/>
    </xf>
    <xf numFmtId="3" fontId="31" fillId="18" borderId="91" xfId="0" applyNumberFormat="1" applyFont="1" applyFill="1" applyBorder="1" applyAlignment="1" applyProtection="1">
      <alignment vertical="center"/>
      <protection hidden="1"/>
    </xf>
    <xf numFmtId="3" fontId="31" fillId="18" borderId="90" xfId="0" applyNumberFormat="1" applyFont="1" applyFill="1" applyBorder="1" applyAlignment="1" applyProtection="1">
      <alignment vertical="center"/>
      <protection hidden="1"/>
    </xf>
    <xf numFmtId="3" fontId="47" fillId="18" borderId="89" xfId="0" applyNumberFormat="1" applyFont="1" applyFill="1" applyBorder="1" applyProtection="1">
      <protection hidden="1"/>
    </xf>
    <xf numFmtId="3" fontId="47" fillId="18" borderId="91" xfId="0" applyNumberFormat="1" applyFont="1" applyFill="1" applyBorder="1" applyAlignment="1" applyProtection="1">
      <alignment vertical="center"/>
      <protection hidden="1"/>
    </xf>
    <xf numFmtId="3" fontId="47" fillId="18" borderId="90" xfId="0" applyNumberFormat="1" applyFont="1" applyFill="1" applyBorder="1" applyAlignment="1" applyProtection="1">
      <alignment vertical="center"/>
      <protection hidden="1"/>
    </xf>
    <xf numFmtId="3" fontId="46" fillId="18" borderId="88" xfId="0" applyNumberFormat="1" applyFont="1" applyFill="1" applyBorder="1" applyProtection="1">
      <protection hidden="1"/>
    </xf>
    <xf numFmtId="3" fontId="46" fillId="2" borderId="88" xfId="0" applyNumberFormat="1" applyFont="1" applyFill="1" applyBorder="1" applyProtection="1">
      <protection hidden="1"/>
    </xf>
    <xf numFmtId="3" fontId="47" fillId="0" borderId="15" xfId="0" applyNumberFormat="1" applyFont="1" applyFill="1" applyBorder="1" applyAlignment="1" applyProtection="1">
      <alignment vertical="center"/>
      <protection hidden="1"/>
    </xf>
    <xf numFmtId="3" fontId="47" fillId="18" borderId="89" xfId="0" applyNumberFormat="1" applyFont="1" applyFill="1" applyBorder="1" applyAlignment="1" applyProtection="1">
      <alignment vertical="center"/>
      <protection hidden="1"/>
    </xf>
    <xf numFmtId="3" fontId="47" fillId="0" borderId="89" xfId="0" applyNumberFormat="1" applyFont="1" applyFill="1" applyBorder="1" applyAlignment="1" applyProtection="1">
      <alignment vertical="center"/>
      <protection hidden="1"/>
    </xf>
    <xf numFmtId="3" fontId="47" fillId="0" borderId="91" xfId="0" applyNumberFormat="1" applyFont="1" applyFill="1" applyBorder="1" applyAlignment="1" applyProtection="1">
      <alignment vertical="center"/>
      <protection hidden="1"/>
    </xf>
    <xf numFmtId="3" fontId="47" fillId="0" borderId="90" xfId="0" applyNumberFormat="1" applyFont="1" applyFill="1" applyBorder="1" applyAlignment="1" applyProtection="1">
      <alignment vertical="center"/>
      <protection hidden="1"/>
    </xf>
    <xf numFmtId="3" fontId="31" fillId="0" borderId="3" xfId="0" applyNumberFormat="1" applyFont="1" applyFill="1" applyBorder="1" applyProtection="1">
      <protection hidden="1"/>
    </xf>
    <xf numFmtId="166" fontId="33" fillId="18" borderId="88" xfId="0" applyNumberFormat="1" applyFont="1" applyFill="1" applyBorder="1" applyProtection="1">
      <protection hidden="1"/>
    </xf>
    <xf numFmtId="3" fontId="31" fillId="0" borderId="88" xfId="0" applyNumberFormat="1" applyFont="1" applyFill="1" applyBorder="1" applyProtection="1">
      <protection hidden="1"/>
    </xf>
    <xf numFmtId="3" fontId="31" fillId="23" borderId="34" xfId="0" applyNumberFormat="1" applyFont="1" applyFill="1" applyBorder="1" applyAlignment="1" applyProtection="1">
      <alignment horizontal="right" vertical="center"/>
      <protection locked="0"/>
    </xf>
    <xf numFmtId="3" fontId="31" fillId="23" borderId="37" xfId="0" applyNumberFormat="1" applyFont="1" applyFill="1" applyBorder="1" applyAlignment="1" applyProtection="1">
      <alignment horizontal="right" vertical="center"/>
      <protection locked="0"/>
    </xf>
    <xf numFmtId="3" fontId="31" fillId="23" borderId="24" xfId="0" applyNumberFormat="1" applyFont="1" applyFill="1" applyBorder="1" applyAlignment="1" applyProtection="1">
      <alignment horizontal="right" vertical="center"/>
      <protection locked="0"/>
    </xf>
    <xf numFmtId="3" fontId="31" fillId="23" borderId="15" xfId="0" applyNumberFormat="1" applyFont="1" applyFill="1" applyBorder="1" applyAlignment="1" applyProtection="1">
      <alignment horizontal="right" vertical="center"/>
      <protection locked="0"/>
    </xf>
    <xf numFmtId="3" fontId="31" fillId="23" borderId="97" xfId="0" applyNumberFormat="1" applyFont="1" applyFill="1" applyBorder="1" applyAlignment="1" applyProtection="1">
      <alignment horizontal="right" vertical="center"/>
      <protection locked="0"/>
    </xf>
    <xf numFmtId="3" fontId="31" fillId="23" borderId="98" xfId="0" applyNumberFormat="1" applyFont="1" applyFill="1" applyBorder="1" applyAlignment="1" applyProtection="1">
      <alignment horizontal="right" vertical="center"/>
      <protection locked="0"/>
    </xf>
    <xf numFmtId="3" fontId="31" fillId="23" borderId="93" xfId="0" applyNumberFormat="1" applyFont="1" applyFill="1" applyBorder="1" applyAlignment="1" applyProtection="1">
      <alignment horizontal="right" vertical="center"/>
      <protection locked="0"/>
    </xf>
    <xf numFmtId="3" fontId="31" fillId="23" borderId="90" xfId="0" applyNumberFormat="1" applyFont="1" applyFill="1" applyBorder="1" applyAlignment="1" applyProtection="1">
      <alignment horizontal="right" vertical="center"/>
      <protection locked="0"/>
    </xf>
    <xf numFmtId="0" fontId="27" fillId="13" borderId="99" xfId="0" applyFont="1" applyFill="1" applyBorder="1" applyAlignment="1" applyProtection="1">
      <alignment horizontal="center"/>
      <protection hidden="1"/>
    </xf>
    <xf numFmtId="0" fontId="31" fillId="18" borderId="99" xfId="0" applyFont="1" applyFill="1" applyBorder="1" applyAlignment="1" applyProtection="1">
      <alignment horizontal="right"/>
      <protection hidden="1"/>
    </xf>
    <xf numFmtId="0" fontId="31" fillId="23" borderId="100" xfId="0" applyFont="1" applyFill="1" applyBorder="1" applyAlignment="1" applyProtection="1">
      <alignment horizontal="left" vertical="center"/>
      <protection locked="0"/>
    </xf>
    <xf numFmtId="0" fontId="31" fillId="23" borderId="101" xfId="0" applyFont="1" applyFill="1" applyBorder="1" applyAlignment="1" applyProtection="1">
      <alignment horizontal="left" vertical="center"/>
      <protection locked="0"/>
    </xf>
    <xf numFmtId="0" fontId="31" fillId="23" borderId="102" xfId="0" applyFont="1" applyFill="1" applyBorder="1" applyAlignment="1" applyProtection="1">
      <alignment horizontal="left" vertical="center"/>
      <protection locked="0"/>
    </xf>
    <xf numFmtId="0" fontId="31" fillId="23" borderId="103" xfId="0" applyFont="1" applyFill="1" applyBorder="1" applyAlignment="1" applyProtection="1">
      <alignment horizontal="left" vertical="center"/>
      <protection locked="0"/>
    </xf>
    <xf numFmtId="0" fontId="31" fillId="0" borderId="99" xfId="0" applyFont="1" applyFill="1" applyBorder="1" applyProtection="1">
      <protection hidden="1"/>
    </xf>
    <xf numFmtId="3" fontId="31" fillId="0" borderId="99" xfId="0" applyNumberFormat="1" applyFont="1" applyFill="1" applyBorder="1" applyAlignment="1" applyProtection="1">
      <alignment vertical="center"/>
      <protection hidden="1"/>
    </xf>
    <xf numFmtId="3" fontId="47" fillId="0" borderId="104" xfId="0" applyNumberFormat="1" applyFont="1" applyFill="1" applyBorder="1" applyAlignment="1" applyProtection="1">
      <alignment vertical="center"/>
      <protection hidden="1"/>
    </xf>
    <xf numFmtId="3" fontId="47" fillId="0" borderId="105" xfId="0" applyNumberFormat="1" applyFont="1" applyFill="1" applyBorder="1" applyAlignment="1" applyProtection="1">
      <alignment vertical="center"/>
      <protection hidden="1"/>
    </xf>
    <xf numFmtId="170" fontId="47" fillId="0" borderId="105" xfId="0" applyNumberFormat="1" applyFont="1" applyFill="1" applyBorder="1" applyAlignment="1" applyProtection="1">
      <alignment vertical="center"/>
      <protection hidden="1"/>
    </xf>
    <xf numFmtId="170" fontId="47" fillId="0" borderId="103" xfId="0" applyNumberFormat="1" applyFont="1" applyFill="1" applyBorder="1" applyAlignment="1" applyProtection="1">
      <alignment vertical="center"/>
      <protection hidden="1"/>
    </xf>
    <xf numFmtId="3" fontId="46" fillId="2" borderId="103" xfId="0" applyNumberFormat="1" applyFont="1" applyFill="1" applyBorder="1" applyProtection="1">
      <protection hidden="1"/>
    </xf>
    <xf numFmtId="0" fontId="31" fillId="18" borderId="104" xfId="0" applyFont="1" applyFill="1" applyBorder="1" applyProtection="1">
      <protection hidden="1"/>
    </xf>
    <xf numFmtId="0" fontId="31" fillId="18" borderId="105" xfId="0" applyFont="1" applyFill="1" applyBorder="1" applyProtection="1">
      <protection hidden="1"/>
    </xf>
    <xf numFmtId="3" fontId="31" fillId="18" borderId="105" xfId="0" applyNumberFormat="1" applyFont="1" applyFill="1" applyBorder="1" applyAlignment="1" applyProtection="1">
      <alignment vertical="center"/>
      <protection hidden="1"/>
    </xf>
    <xf numFmtId="3" fontId="31" fillId="18" borderId="103" xfId="0" applyNumberFormat="1" applyFont="1" applyFill="1" applyBorder="1" applyAlignment="1" applyProtection="1">
      <alignment vertical="center"/>
      <protection hidden="1"/>
    </xf>
    <xf numFmtId="3" fontId="31" fillId="18" borderId="104" xfId="0" applyNumberFormat="1" applyFont="1" applyFill="1" applyBorder="1" applyProtection="1">
      <protection hidden="1"/>
    </xf>
    <xf numFmtId="3" fontId="31" fillId="18" borderId="104" xfId="0" applyNumberFormat="1" applyFont="1" applyFill="1" applyBorder="1" applyAlignment="1" applyProtection="1">
      <alignment vertical="center"/>
      <protection hidden="1"/>
    </xf>
    <xf numFmtId="3" fontId="31" fillId="18" borderId="105" xfId="0" applyNumberFormat="1" applyFont="1" applyFill="1" applyBorder="1" applyProtection="1">
      <protection hidden="1"/>
    </xf>
    <xf numFmtId="3" fontId="31" fillId="18" borderId="102" xfId="0" applyNumberFormat="1" applyFont="1" applyFill="1" applyBorder="1" applyProtection="1">
      <protection hidden="1"/>
    </xf>
    <xf numFmtId="0" fontId="31" fillId="18" borderId="103" xfId="0" applyFont="1" applyFill="1" applyBorder="1" applyProtection="1">
      <protection hidden="1"/>
    </xf>
    <xf numFmtId="3" fontId="31" fillId="18" borderId="99" xfId="0" applyNumberFormat="1" applyFont="1" applyFill="1" applyBorder="1" applyProtection="1">
      <protection hidden="1"/>
    </xf>
    <xf numFmtId="3" fontId="33" fillId="18" borderId="99" xfId="0" applyNumberFormat="1" applyFont="1" applyFill="1" applyBorder="1" applyProtection="1">
      <protection hidden="1"/>
    </xf>
    <xf numFmtId="0" fontId="27" fillId="18" borderId="104" xfId="0" applyFont="1" applyFill="1" applyBorder="1" applyAlignment="1" applyProtection="1">
      <alignment horizontal="right"/>
      <protection hidden="1"/>
    </xf>
    <xf numFmtId="3" fontId="31" fillId="7" borderId="105" xfId="0" applyNumberFormat="1" applyFont="1" applyFill="1" applyBorder="1" applyProtection="1">
      <protection hidden="1"/>
    </xf>
    <xf numFmtId="0" fontId="31" fillId="18" borderId="104" xfId="0" applyFont="1" applyFill="1" applyBorder="1" applyAlignment="1" applyProtection="1">
      <alignment vertical="center"/>
      <protection hidden="1"/>
    </xf>
    <xf numFmtId="170" fontId="31" fillId="23" borderId="103" xfId="0" applyNumberFormat="1" applyFont="1" applyFill="1" applyBorder="1" applyAlignment="1" applyProtection="1">
      <alignment vertical="center"/>
      <protection locked="0"/>
    </xf>
    <xf numFmtId="3" fontId="47" fillId="18" borderId="104" xfId="0" applyNumberFormat="1" applyFont="1" applyFill="1" applyBorder="1" applyProtection="1">
      <protection hidden="1"/>
    </xf>
    <xf numFmtId="3" fontId="47" fillId="18" borderId="105" xfId="0" applyNumberFormat="1" applyFont="1" applyFill="1" applyBorder="1" applyProtection="1">
      <protection hidden="1"/>
    </xf>
    <xf numFmtId="3" fontId="47" fillId="18" borderId="105" xfId="0" applyNumberFormat="1" applyFont="1" applyFill="1" applyBorder="1" applyAlignment="1" applyProtection="1">
      <alignment vertical="center"/>
      <protection hidden="1"/>
    </xf>
    <xf numFmtId="3" fontId="47" fillId="18" borderId="103" xfId="0" applyNumberFormat="1" applyFont="1" applyFill="1" applyBorder="1" applyAlignment="1" applyProtection="1">
      <alignment vertical="center"/>
      <protection hidden="1"/>
    </xf>
    <xf numFmtId="3" fontId="46" fillId="2" borderId="99" xfId="0" applyNumberFormat="1" applyFont="1" applyFill="1" applyBorder="1" applyProtection="1">
      <protection hidden="1"/>
    </xf>
    <xf numFmtId="0" fontId="31" fillId="18" borderId="105" xfId="0" applyFont="1" applyFill="1" applyBorder="1" applyAlignment="1" applyProtection="1">
      <alignment horizontal="right"/>
      <protection hidden="1"/>
    </xf>
    <xf numFmtId="0" fontId="33" fillId="18" borderId="99" xfId="0" applyFont="1" applyFill="1" applyBorder="1" applyProtection="1">
      <protection hidden="1"/>
    </xf>
    <xf numFmtId="0" fontId="47" fillId="18" borderId="105" xfId="0" applyFont="1" applyFill="1" applyBorder="1" applyProtection="1">
      <protection hidden="1"/>
    </xf>
    <xf numFmtId="0" fontId="33" fillId="18" borderId="106" xfId="0" applyFont="1" applyFill="1" applyBorder="1" applyProtection="1">
      <protection hidden="1"/>
    </xf>
    <xf numFmtId="0" fontId="31" fillId="23" borderId="99" xfId="0" applyFont="1" applyFill="1" applyBorder="1" applyProtection="1">
      <protection locked="0"/>
    </xf>
    <xf numFmtId="0" fontId="33" fillId="18" borderId="105" xfId="0" applyFont="1" applyFill="1" applyBorder="1" applyProtection="1">
      <protection hidden="1"/>
    </xf>
    <xf numFmtId="0" fontId="33" fillId="18" borderId="103" xfId="0" applyFont="1" applyFill="1" applyBorder="1" applyProtection="1">
      <protection hidden="1"/>
    </xf>
    <xf numFmtId="0" fontId="31" fillId="18" borderId="99" xfId="0" applyFont="1" applyFill="1" applyBorder="1" applyProtection="1">
      <protection hidden="1"/>
    </xf>
    <xf numFmtId="0" fontId="31" fillId="18" borderId="107" xfId="0" applyFont="1" applyFill="1" applyBorder="1" applyProtection="1">
      <protection hidden="1"/>
    </xf>
    <xf numFmtId="0" fontId="47" fillId="18" borderId="99" xfId="0" applyNumberFormat="1" applyFont="1" applyFill="1" applyBorder="1" applyProtection="1">
      <protection hidden="1"/>
    </xf>
    <xf numFmtId="0" fontId="47" fillId="18" borderId="104" xfId="0" applyNumberFormat="1" applyFont="1" applyFill="1" applyBorder="1" applyProtection="1">
      <protection hidden="1"/>
    </xf>
    <xf numFmtId="0" fontId="47" fillId="18" borderId="105" xfId="0" applyNumberFormat="1" applyFont="1" applyFill="1" applyBorder="1" applyProtection="1">
      <protection hidden="1"/>
    </xf>
    <xf numFmtId="0" fontId="47" fillId="18" borderId="103" xfId="0" applyNumberFormat="1" applyFont="1" applyFill="1" applyBorder="1" applyProtection="1">
      <protection hidden="1"/>
    </xf>
    <xf numFmtId="0" fontId="47" fillId="18" borderId="104" xfId="0" applyFont="1" applyFill="1" applyBorder="1" applyProtection="1">
      <protection hidden="1"/>
    </xf>
    <xf numFmtId="0" fontId="31" fillId="18" borderId="104" xfId="0" applyNumberFormat="1" applyFont="1" applyFill="1" applyBorder="1" applyProtection="1">
      <protection hidden="1"/>
    </xf>
    <xf numFmtId="0" fontId="31" fillId="18" borderId="103" xfId="0" applyNumberFormat="1" applyFont="1" applyFill="1" applyBorder="1" applyProtection="1">
      <protection hidden="1"/>
    </xf>
    <xf numFmtId="0" fontId="33" fillId="18" borderId="105" xfId="0" applyNumberFormat="1" applyFont="1" applyFill="1" applyBorder="1" applyProtection="1">
      <protection hidden="1"/>
    </xf>
    <xf numFmtId="0" fontId="31" fillId="18" borderId="105" xfId="0" applyNumberFormat="1" applyFont="1" applyFill="1" applyBorder="1" applyProtection="1">
      <protection hidden="1"/>
    </xf>
    <xf numFmtId="0" fontId="31" fillId="18" borderId="105" xfId="0" quotePrefix="1" applyFont="1" applyFill="1" applyBorder="1" applyAlignment="1" applyProtection="1">
      <alignment horizontal="right"/>
      <protection hidden="1"/>
    </xf>
    <xf numFmtId="0" fontId="31" fillId="23" borderId="105" xfId="0" applyNumberFormat="1" applyFont="1" applyFill="1" applyBorder="1" applyProtection="1">
      <protection locked="0"/>
    </xf>
    <xf numFmtId="0" fontId="31" fillId="23" borderId="108" xfId="0" applyNumberFormat="1" applyFont="1" applyFill="1" applyBorder="1" applyProtection="1">
      <protection locked="0"/>
    </xf>
    <xf numFmtId="0" fontId="33" fillId="18" borderId="104" xfId="0" applyFont="1" applyFill="1" applyBorder="1" applyProtection="1">
      <protection hidden="1"/>
    </xf>
    <xf numFmtId="0" fontId="50" fillId="18" borderId="105" xfId="0" applyFont="1" applyFill="1" applyBorder="1" applyProtection="1">
      <protection hidden="1"/>
    </xf>
    <xf numFmtId="0" fontId="31" fillId="18" borderId="102" xfId="0" applyFont="1" applyFill="1" applyBorder="1" applyProtection="1">
      <protection hidden="1"/>
    </xf>
    <xf numFmtId="0" fontId="31" fillId="23" borderId="109" xfId="0" applyFont="1" applyFill="1" applyBorder="1" applyProtection="1">
      <protection locked="0"/>
    </xf>
    <xf numFmtId="0" fontId="31" fillId="23" borderId="105" xfId="0" applyFont="1" applyFill="1" applyBorder="1" applyProtection="1">
      <protection locked="0"/>
    </xf>
    <xf numFmtId="0" fontId="31" fillId="23" borderId="102" xfId="0" applyFont="1" applyFill="1" applyBorder="1" applyProtection="1">
      <protection locked="0"/>
    </xf>
    <xf numFmtId="0" fontId="40" fillId="18" borderId="104" xfId="0" applyFont="1" applyFill="1" applyBorder="1" applyProtection="1">
      <protection hidden="1"/>
    </xf>
    <xf numFmtId="0" fontId="51" fillId="18" borderId="105" xfId="0" applyFont="1" applyFill="1" applyBorder="1" applyProtection="1">
      <protection hidden="1"/>
    </xf>
    <xf numFmtId="0" fontId="31" fillId="0" borderId="105" xfId="0" applyFont="1" applyFill="1" applyBorder="1" applyProtection="1">
      <protection hidden="1"/>
    </xf>
    <xf numFmtId="0" fontId="52" fillId="18" borderId="105" xfId="0" applyFont="1" applyFill="1" applyBorder="1" applyProtection="1">
      <protection hidden="1"/>
    </xf>
    <xf numFmtId="0" fontId="52" fillId="18" borderId="103" xfId="0" applyFont="1" applyFill="1" applyBorder="1" applyProtection="1">
      <protection hidden="1"/>
    </xf>
    <xf numFmtId="0" fontId="47" fillId="18" borderId="104" xfId="0" applyFont="1" applyFill="1" applyBorder="1" applyAlignment="1" applyProtection="1">
      <alignment horizontal="right"/>
      <protection hidden="1"/>
    </xf>
    <xf numFmtId="0" fontId="47" fillId="18" borderId="103" xfId="0" applyFont="1" applyFill="1" applyBorder="1" applyAlignment="1" applyProtection="1">
      <alignment horizontal="right"/>
      <protection hidden="1"/>
    </xf>
    <xf numFmtId="0" fontId="31" fillId="18" borderId="104" xfId="0" applyFont="1" applyFill="1" applyBorder="1" applyAlignment="1" applyProtection="1">
      <alignment horizontal="right"/>
      <protection hidden="1"/>
    </xf>
    <xf numFmtId="0" fontId="31" fillId="18" borderId="103" xfId="0" applyFont="1" applyFill="1" applyBorder="1" applyAlignment="1" applyProtection="1">
      <alignment horizontal="right"/>
      <protection hidden="1"/>
    </xf>
    <xf numFmtId="0" fontId="47" fillId="18" borderId="105" xfId="0" applyFont="1" applyFill="1" applyBorder="1" applyAlignment="1" applyProtection="1">
      <alignment horizontal="right"/>
      <protection hidden="1"/>
    </xf>
    <xf numFmtId="0" fontId="47" fillId="18" borderId="99" xfId="0" applyFont="1" applyFill="1" applyBorder="1" applyAlignment="1" applyProtection="1">
      <alignment horizontal="right"/>
      <protection hidden="1"/>
    </xf>
    <xf numFmtId="0" fontId="47" fillId="7" borderId="105" xfId="0" applyFont="1" applyFill="1" applyBorder="1" applyAlignment="1" applyProtection="1">
      <alignment horizontal="right"/>
      <protection hidden="1"/>
    </xf>
    <xf numFmtId="0" fontId="47" fillId="18" borderId="109" xfId="0" applyFont="1" applyFill="1" applyBorder="1" applyAlignment="1" applyProtection="1">
      <alignment horizontal="right"/>
      <protection hidden="1"/>
    </xf>
    <xf numFmtId="170" fontId="31" fillId="23" borderId="110" xfId="0" applyNumberFormat="1" applyFont="1" applyFill="1" applyBorder="1" applyAlignment="1" applyProtection="1">
      <alignment vertical="center"/>
      <protection locked="0"/>
    </xf>
    <xf numFmtId="0" fontId="47" fillId="18" borderId="102" xfId="0" applyFont="1" applyFill="1" applyBorder="1" applyAlignment="1" applyProtection="1">
      <alignment horizontal="right"/>
      <protection hidden="1"/>
    </xf>
    <xf numFmtId="0" fontId="47" fillId="7" borderId="102" xfId="0" applyFont="1" applyFill="1" applyBorder="1" applyAlignment="1" applyProtection="1">
      <alignment horizontal="right"/>
      <protection hidden="1"/>
    </xf>
    <xf numFmtId="0" fontId="31" fillId="18" borderId="6" xfId="0" applyFont="1" applyFill="1" applyBorder="1" applyAlignment="1" applyProtection="1">
      <protection hidden="1"/>
    </xf>
    <xf numFmtId="0" fontId="31" fillId="18" borderId="6" xfId="0" applyNumberFormat="1" applyFont="1" applyFill="1" applyBorder="1" applyAlignment="1" applyProtection="1">
      <protection hidden="1"/>
    </xf>
    <xf numFmtId="0" fontId="31" fillId="18" borderId="8" xfId="0" applyNumberFormat="1" applyFont="1" applyFill="1" applyBorder="1" applyAlignment="1" applyProtection="1">
      <protection hidden="1"/>
    </xf>
    <xf numFmtId="0" fontId="31" fillId="18" borderId="15" xfId="0" applyNumberFormat="1" applyFont="1" applyFill="1" applyBorder="1" applyAlignment="1" applyProtection="1">
      <protection hidden="1"/>
    </xf>
    <xf numFmtId="0" fontId="31" fillId="18" borderId="99" xfId="0" applyFont="1" applyFill="1" applyBorder="1" applyAlignment="1" applyProtection="1">
      <alignment horizontal="center"/>
      <protection hidden="1"/>
    </xf>
    <xf numFmtId="0" fontId="33" fillId="18" borderId="104" xfId="0" applyFont="1" applyFill="1" applyBorder="1" applyAlignment="1" applyProtection="1">
      <alignment horizontal="left"/>
      <protection hidden="1"/>
    </xf>
    <xf numFmtId="169" fontId="33" fillId="23" borderId="110" xfId="0" applyNumberFormat="1" applyFont="1" applyFill="1" applyBorder="1" applyAlignment="1" applyProtection="1">
      <alignment horizontal="center"/>
      <protection locked="0"/>
    </xf>
    <xf numFmtId="164" fontId="27" fillId="18" borderId="103" xfId="0" applyNumberFormat="1" applyFont="1" applyFill="1" applyBorder="1" applyAlignment="1" applyProtection="1">
      <alignment horizontal="center"/>
      <protection hidden="1"/>
    </xf>
    <xf numFmtId="164" fontId="27" fillId="18" borderId="104" xfId="0" applyNumberFormat="1" applyFont="1" applyFill="1" applyBorder="1" applyAlignment="1" applyProtection="1">
      <alignment horizontal="center"/>
      <protection hidden="1"/>
    </xf>
    <xf numFmtId="164" fontId="27" fillId="18" borderId="105" xfId="0" applyNumberFormat="1" applyFont="1" applyFill="1" applyBorder="1" applyAlignment="1" applyProtection="1">
      <alignment horizontal="center"/>
      <protection hidden="1"/>
    </xf>
    <xf numFmtId="164" fontId="27" fillId="7" borderId="103" xfId="0" applyNumberFormat="1" applyFont="1" applyFill="1" applyBorder="1" applyAlignment="1" applyProtection="1">
      <alignment horizontal="center"/>
      <protection hidden="1"/>
    </xf>
    <xf numFmtId="0" fontId="33" fillId="18" borderId="104" xfId="0" applyFont="1" applyFill="1" applyBorder="1" applyAlignment="1" applyProtection="1">
      <alignment horizontal="right"/>
      <protection hidden="1"/>
    </xf>
    <xf numFmtId="0" fontId="31" fillId="7" borderId="105" xfId="0" applyFont="1" applyFill="1" applyBorder="1" applyAlignment="1" applyProtection="1">
      <alignment horizontal="right"/>
      <protection hidden="1"/>
    </xf>
    <xf numFmtId="0" fontId="31" fillId="7" borderId="103" xfId="0" applyFont="1" applyFill="1" applyBorder="1" applyAlignment="1" applyProtection="1">
      <alignment horizontal="right"/>
      <protection hidden="1"/>
    </xf>
    <xf numFmtId="0" fontId="68" fillId="15" borderId="0" xfId="0" applyFont="1" applyFill="1" applyAlignment="1">
      <alignment horizontal="left" vertical="top" wrapText="1"/>
    </xf>
    <xf numFmtId="0" fontId="41" fillId="19" borderId="12" xfId="0" applyFont="1" applyFill="1" applyBorder="1" applyProtection="1">
      <protection hidden="1"/>
    </xf>
    <xf numFmtId="0" fontId="0" fillId="15" borderId="4" xfId="0" applyFill="1" applyBorder="1"/>
    <xf numFmtId="0" fontId="0" fillId="15" borderId="85" xfId="0" applyFill="1" applyBorder="1" applyAlignment="1">
      <alignment horizontal="right"/>
    </xf>
    <xf numFmtId="0" fontId="0" fillId="22" borderId="9" xfId="0" applyFill="1" applyBorder="1"/>
    <xf numFmtId="0" fontId="0" fillId="0" borderId="4" xfId="0" applyBorder="1"/>
    <xf numFmtId="0" fontId="0" fillId="0" borderId="85" xfId="0" applyBorder="1"/>
    <xf numFmtId="0" fontId="0" fillId="0" borderId="9" xfId="0" applyBorder="1"/>
    <xf numFmtId="0" fontId="0" fillId="0" borderId="7" xfId="0" applyBorder="1"/>
    <xf numFmtId="0" fontId="0" fillId="0" borderId="0" xfId="0" applyBorder="1"/>
    <xf numFmtId="0" fontId="0" fillId="0" borderId="16" xfId="0" applyBorder="1"/>
    <xf numFmtId="0" fontId="0" fillId="0" borderId="13" xfId="0" applyBorder="1"/>
    <xf numFmtId="0" fontId="0" fillId="0" borderId="14" xfId="0" applyBorder="1"/>
    <xf numFmtId="0" fontId="0" fillId="0" borderId="17" xfId="0" applyBorder="1"/>
    <xf numFmtId="0" fontId="0" fillId="12" borderId="7" xfId="0" applyFill="1" applyBorder="1"/>
    <xf numFmtId="0" fontId="0" fillId="12" borderId="0" xfId="0" applyFill="1" applyBorder="1"/>
    <xf numFmtId="0" fontId="0" fillId="25" borderId="7" xfId="0" applyFill="1" applyBorder="1"/>
    <xf numFmtId="0" fontId="0" fillId="25" borderId="0" xfId="0" applyFill="1" applyBorder="1"/>
    <xf numFmtId="0" fontId="0" fillId="22" borderId="16" xfId="0" applyFill="1" applyBorder="1"/>
    <xf numFmtId="0" fontId="0" fillId="22" borderId="17" xfId="0" applyFill="1" applyBorder="1"/>
    <xf numFmtId="0" fontId="0" fillId="21" borderId="7" xfId="0" applyFill="1" applyBorder="1"/>
    <xf numFmtId="0" fontId="0" fillId="21" borderId="0" xfId="0" applyFill="1" applyBorder="1"/>
    <xf numFmtId="0" fontId="3" fillId="22" borderId="12" xfId="0" applyFont="1" applyFill="1" applyBorder="1" applyAlignment="1" applyProtection="1">
      <alignment horizontal="center"/>
      <protection locked="0"/>
    </xf>
    <xf numFmtId="164" fontId="53" fillId="18" borderId="91" xfId="0" applyNumberFormat="1" applyFont="1" applyFill="1" applyBorder="1" applyAlignment="1" applyProtection="1">
      <protection hidden="1"/>
    </xf>
    <xf numFmtId="164" fontId="53" fillId="18" borderId="91" xfId="0" applyNumberFormat="1" applyFont="1" applyFill="1" applyBorder="1" applyProtection="1">
      <protection hidden="1"/>
    </xf>
    <xf numFmtId="175" fontId="33" fillId="18" borderId="50" xfId="0" applyNumberFormat="1" applyFont="1" applyFill="1" applyBorder="1" applyAlignment="1" applyProtection="1">
      <alignment horizontal="right" vertical="center"/>
      <protection hidden="1"/>
    </xf>
    <xf numFmtId="0" fontId="18" fillId="22" borderId="9" xfId="0" applyFont="1" applyFill="1" applyBorder="1" applyAlignment="1" applyProtection="1">
      <protection hidden="1"/>
    </xf>
    <xf numFmtId="0" fontId="18" fillId="22" borderId="16" xfId="0" applyFont="1" applyFill="1" applyBorder="1" applyAlignment="1" applyProtection="1">
      <protection hidden="1"/>
    </xf>
    <xf numFmtId="0" fontId="18" fillId="22" borderId="16" xfId="0" applyFont="1" applyFill="1" applyBorder="1" applyProtection="1">
      <protection hidden="1"/>
    </xf>
    <xf numFmtId="0" fontId="18" fillId="22" borderId="17" xfId="0" applyFont="1" applyFill="1" applyBorder="1" applyProtection="1">
      <protection hidden="1"/>
    </xf>
    <xf numFmtId="0" fontId="68" fillId="22" borderId="12" xfId="0" applyFont="1" applyFill="1" applyBorder="1" applyAlignment="1">
      <alignment horizontal="left" vertical="top" wrapText="1"/>
    </xf>
    <xf numFmtId="0" fontId="0" fillId="22" borderId="0" xfId="0" applyFill="1" applyBorder="1"/>
    <xf numFmtId="3" fontId="53" fillId="26" borderId="48" xfId="0" applyNumberFormat="1" applyFont="1" applyFill="1" applyBorder="1" applyAlignment="1" applyProtection="1">
      <alignment horizontal="right" vertical="center"/>
      <protection hidden="1"/>
    </xf>
    <xf numFmtId="3" fontId="53" fillId="27" borderId="50" xfId="0" applyNumberFormat="1" applyFont="1" applyFill="1" applyBorder="1" applyAlignment="1" applyProtection="1">
      <alignment horizontal="right" vertical="center"/>
      <protection hidden="1"/>
    </xf>
    <xf numFmtId="3" fontId="53" fillId="28" borderId="50" xfId="0" applyNumberFormat="1" applyFont="1" applyFill="1" applyBorder="1" applyAlignment="1" applyProtection="1">
      <alignment horizontal="right" vertical="center"/>
      <protection hidden="1"/>
    </xf>
    <xf numFmtId="3" fontId="53" fillId="29" borderId="50" xfId="0" applyNumberFormat="1" applyFont="1" applyFill="1" applyBorder="1" applyAlignment="1" applyProtection="1">
      <alignment horizontal="right" vertical="center"/>
      <protection hidden="1"/>
    </xf>
    <xf numFmtId="3" fontId="53" fillId="30" borderId="49" xfId="0" applyNumberFormat="1" applyFont="1" applyFill="1" applyBorder="1" applyAlignment="1" applyProtection="1">
      <alignment horizontal="right" vertical="center"/>
      <protection hidden="1"/>
    </xf>
    <xf numFmtId="0" fontId="69" fillId="24" borderId="0" xfId="0" applyFont="1" applyFill="1" applyProtection="1">
      <protection hidden="1"/>
    </xf>
    <xf numFmtId="0" fontId="70" fillId="24" borderId="0" xfId="0" applyNumberFormat="1" applyFont="1" applyFill="1" applyBorder="1" applyProtection="1">
      <protection hidden="1"/>
    </xf>
    <xf numFmtId="0" fontId="70" fillId="24" borderId="0" xfId="0" applyNumberFormat="1" applyFont="1" applyFill="1" applyProtection="1">
      <protection hidden="1"/>
    </xf>
    <xf numFmtId="0" fontId="69" fillId="24" borderId="0" xfId="0" applyFont="1" applyFill="1"/>
    <xf numFmtId="3" fontId="71" fillId="24" borderId="0" xfId="0" applyNumberFormat="1" applyFont="1" applyFill="1" applyProtection="1">
      <protection hidden="1"/>
    </xf>
    <xf numFmtId="3" fontId="72" fillId="24" borderId="0" xfId="0" applyNumberFormat="1" applyFont="1" applyFill="1" applyProtection="1">
      <protection hidden="1"/>
    </xf>
    <xf numFmtId="0" fontId="3" fillId="31" borderId="12" xfId="0" applyFont="1" applyFill="1" applyBorder="1" applyProtection="1">
      <protection locked="0"/>
    </xf>
    <xf numFmtId="0" fontId="0" fillId="32" borderId="12" xfId="0" applyFill="1" applyBorder="1"/>
    <xf numFmtId="49" fontId="3" fillId="32" borderId="12" xfId="0" applyNumberFormat="1" applyFont="1" applyFill="1" applyBorder="1" applyProtection="1">
      <protection locked="0"/>
    </xf>
    <xf numFmtId="0" fontId="0" fillId="33" borderId="0" xfId="0" applyFill="1"/>
    <xf numFmtId="0" fontId="0" fillId="34" borderId="0" xfId="0" applyFill="1"/>
    <xf numFmtId="0" fontId="0" fillId="34" borderId="12" xfId="0" applyFill="1" applyBorder="1"/>
    <xf numFmtId="0" fontId="73" fillId="33" borderId="111" xfId="0" applyFont="1" applyFill="1" applyBorder="1" applyProtection="1">
      <protection locked="0"/>
    </xf>
    <xf numFmtId="0" fontId="3" fillId="33" borderId="0" xfId="0" applyFont="1" applyFill="1" applyBorder="1" applyProtection="1">
      <protection locked="0"/>
    </xf>
    <xf numFmtId="10" fontId="3" fillId="33" borderId="12" xfId="0" applyNumberFormat="1" applyFont="1" applyFill="1" applyBorder="1" applyProtection="1">
      <protection locked="0"/>
    </xf>
    <xf numFmtId="175" fontId="74" fillId="18" borderId="0" xfId="0" applyNumberFormat="1" applyFont="1" applyFill="1" applyBorder="1" applyAlignment="1" applyProtection="1">
      <alignment horizontal="left" vertical="center"/>
      <protection hidden="1"/>
    </xf>
    <xf numFmtId="0" fontId="22" fillId="18" borderId="0" xfId="0" applyNumberFormat="1" applyFont="1" applyFill="1" applyBorder="1" applyAlignment="1" applyProtection="1">
      <alignment horizontal="right" vertical="center"/>
      <protection hidden="1"/>
    </xf>
    <xf numFmtId="0" fontId="3" fillId="33" borderId="8" xfId="0" applyFont="1" applyFill="1" applyBorder="1" applyProtection="1">
      <protection locked="0"/>
    </xf>
    <xf numFmtId="0" fontId="3" fillId="33" borderId="6" xfId="0" applyFont="1" applyFill="1" applyBorder="1" applyProtection="1">
      <protection locked="0"/>
    </xf>
    <xf numFmtId="0" fontId="3" fillId="35" borderId="0" xfId="0" applyFont="1" applyFill="1"/>
    <xf numFmtId="0" fontId="31" fillId="35" borderId="0" xfId="0" applyFont="1" applyFill="1" applyBorder="1" applyAlignment="1" applyProtection="1">
      <protection hidden="1"/>
    </xf>
    <xf numFmtId="0" fontId="31" fillId="35" borderId="85" xfId="0" applyFont="1" applyFill="1" applyBorder="1" applyAlignment="1" applyProtection="1">
      <protection hidden="1"/>
    </xf>
    <xf numFmtId="0" fontId="14" fillId="24" borderId="0" xfId="0" applyFont="1" applyFill="1"/>
    <xf numFmtId="0" fontId="31" fillId="35" borderId="0" xfId="0" applyFont="1" applyFill="1" applyBorder="1" applyProtection="1">
      <protection hidden="1"/>
    </xf>
    <xf numFmtId="0" fontId="31" fillId="35" borderId="91" xfId="0" applyFont="1" applyFill="1" applyBorder="1" applyProtection="1">
      <protection hidden="1"/>
    </xf>
    <xf numFmtId="3" fontId="31" fillId="18" borderId="112" xfId="0" applyNumberFormat="1" applyFont="1" applyFill="1" applyBorder="1" applyProtection="1">
      <protection hidden="1"/>
    </xf>
    <xf numFmtId="3" fontId="44" fillId="18" borderId="91" xfId="0" applyNumberFormat="1" applyFont="1" applyFill="1" applyBorder="1" applyAlignment="1" applyProtection="1">
      <protection hidden="1"/>
    </xf>
    <xf numFmtId="3" fontId="31" fillId="18" borderId="113" xfId="0" applyNumberFormat="1" applyFont="1" applyFill="1" applyBorder="1" applyProtection="1">
      <protection hidden="1"/>
    </xf>
    <xf numFmtId="168" fontId="42" fillId="14" borderId="114" xfId="0" applyNumberFormat="1" applyFont="1" applyFill="1" applyBorder="1" applyAlignment="1" applyProtection="1">
      <alignment horizontal="right"/>
      <protection hidden="1"/>
    </xf>
    <xf numFmtId="1" fontId="31" fillId="18" borderId="114" xfId="0" applyNumberFormat="1" applyFont="1" applyFill="1" applyBorder="1" applyAlignment="1" applyProtection="1">
      <alignment horizontal="right"/>
      <protection hidden="1"/>
    </xf>
    <xf numFmtId="1" fontId="31" fillId="18" borderId="112" xfId="0" applyNumberFormat="1" applyFont="1" applyFill="1" applyBorder="1" applyAlignment="1" applyProtection="1">
      <alignment horizontal="right"/>
      <protection hidden="1"/>
    </xf>
    <xf numFmtId="3" fontId="31" fillId="18" borderId="115" xfId="0" applyNumberFormat="1" applyFont="1" applyFill="1" applyBorder="1" applyProtection="1">
      <protection hidden="1"/>
    </xf>
    <xf numFmtId="3" fontId="33" fillId="18" borderId="114" xfId="0" applyNumberFormat="1" applyFont="1" applyFill="1" applyBorder="1" applyProtection="1">
      <protection hidden="1"/>
    </xf>
    <xf numFmtId="3" fontId="27" fillId="18" borderId="112" xfId="0" applyNumberFormat="1" applyFont="1" applyFill="1" applyBorder="1" applyProtection="1">
      <protection hidden="1"/>
    </xf>
    <xf numFmtId="3" fontId="47" fillId="18" borderId="112" xfId="0" applyNumberFormat="1" applyFont="1" applyFill="1" applyBorder="1" applyProtection="1">
      <protection hidden="1"/>
    </xf>
    <xf numFmtId="3" fontId="33" fillId="18" borderId="116" xfId="0" applyNumberFormat="1" applyFont="1" applyFill="1" applyBorder="1" applyProtection="1">
      <protection hidden="1"/>
    </xf>
    <xf numFmtId="169" fontId="33" fillId="18" borderId="114" xfId="0" applyNumberFormat="1" applyFont="1" applyFill="1" applyBorder="1" applyProtection="1">
      <protection hidden="1"/>
    </xf>
    <xf numFmtId="3" fontId="31" fillId="23" borderId="114" xfId="0" applyNumberFormat="1" applyFont="1" applyFill="1" applyBorder="1" applyProtection="1">
      <protection locked="0"/>
    </xf>
    <xf numFmtId="3" fontId="50" fillId="18" borderId="113" xfId="0" applyNumberFormat="1" applyFont="1" applyFill="1" applyBorder="1" applyProtection="1">
      <protection hidden="1"/>
    </xf>
    <xf numFmtId="3" fontId="27" fillId="18" borderId="115" xfId="0" applyNumberFormat="1" applyFont="1" applyFill="1" applyBorder="1" applyProtection="1">
      <protection hidden="1"/>
    </xf>
    <xf numFmtId="3" fontId="31" fillId="23" borderId="112" xfId="0" applyNumberFormat="1" applyFont="1" applyFill="1" applyBorder="1" applyProtection="1">
      <protection locked="0"/>
    </xf>
    <xf numFmtId="3" fontId="31" fillId="23" borderId="113" xfId="0" applyNumberFormat="1" applyFont="1" applyFill="1" applyBorder="1" applyProtection="1">
      <protection locked="0"/>
    </xf>
    <xf numFmtId="3" fontId="31" fillId="23" borderId="115" xfId="0" applyNumberFormat="1" applyFont="1" applyFill="1" applyBorder="1" applyProtection="1">
      <protection locked="0"/>
    </xf>
    <xf numFmtId="3" fontId="31" fillId="18" borderId="114" xfId="0" applyNumberFormat="1" applyFont="1" applyFill="1" applyBorder="1" applyProtection="1">
      <protection hidden="1"/>
    </xf>
    <xf numFmtId="0" fontId="31" fillId="18" borderId="15" xfId="0" applyNumberFormat="1" applyFont="1" applyFill="1" applyBorder="1" applyProtection="1">
      <protection hidden="1"/>
    </xf>
    <xf numFmtId="3" fontId="31" fillId="18" borderId="117" xfId="0" applyNumberFormat="1" applyFont="1" applyFill="1" applyBorder="1" applyProtection="1">
      <protection hidden="1"/>
    </xf>
    <xf numFmtId="0" fontId="0" fillId="35" borderId="0" xfId="0" applyFill="1"/>
    <xf numFmtId="0" fontId="41" fillId="35" borderId="0" xfId="0" applyFont="1" applyFill="1"/>
    <xf numFmtId="0" fontId="41" fillId="0" borderId="0" xfId="0" applyFont="1" applyFill="1"/>
    <xf numFmtId="0" fontId="41" fillId="10" borderId="0" xfId="0" applyFont="1" applyFill="1"/>
    <xf numFmtId="0" fontId="41" fillId="22" borderId="0" xfId="0" applyFont="1" applyFill="1"/>
    <xf numFmtId="0" fontId="41" fillId="0" borderId="0" xfId="0" applyFont="1"/>
    <xf numFmtId="0" fontId="41" fillId="10" borderId="0" xfId="0" quotePrefix="1" applyFont="1" applyFill="1"/>
    <xf numFmtId="0" fontId="0" fillId="25" borderId="0" xfId="0" applyFill="1"/>
    <xf numFmtId="0" fontId="0" fillId="0" borderId="0" xfId="0" applyFont="1" applyFill="1"/>
    <xf numFmtId="0" fontId="0" fillId="15" borderId="0" xfId="0" applyFont="1" applyFill="1"/>
    <xf numFmtId="0" fontId="3" fillId="25" borderId="0" xfId="0" applyFont="1" applyFill="1"/>
    <xf numFmtId="0" fontId="0" fillId="0" borderId="0" xfId="0" applyFont="1" applyFill="1" applyBorder="1" applyProtection="1">
      <protection hidden="1"/>
    </xf>
    <xf numFmtId="3" fontId="0" fillId="0" borderId="0" xfId="0" applyNumberFormat="1" applyFont="1" applyFill="1" applyBorder="1" applyAlignment="1" applyProtection="1">
      <alignment horizontal="right"/>
      <protection hidden="1"/>
    </xf>
    <xf numFmtId="0" fontId="0" fillId="15" borderId="0" xfId="0" applyFont="1" applyFill="1" applyBorder="1" applyProtection="1">
      <protection hidden="1"/>
    </xf>
    <xf numFmtId="0" fontId="0" fillId="15" borderId="0" xfId="0" applyFont="1" applyFill="1" applyBorder="1" applyAlignment="1" applyProtection="1">
      <alignment vertical="center"/>
      <protection hidden="1"/>
    </xf>
    <xf numFmtId="0" fontId="0" fillId="0" borderId="0" xfId="0" applyFont="1" applyFill="1" applyBorder="1" applyAlignment="1" applyProtection="1">
      <alignment vertical="center"/>
      <protection hidden="1"/>
    </xf>
    <xf numFmtId="3" fontId="0" fillId="0" borderId="0" xfId="0" applyNumberFormat="1" applyFont="1" applyFill="1" applyBorder="1" applyAlignment="1" applyProtection="1">
      <alignment horizontal="right" vertical="center"/>
      <protection hidden="1"/>
    </xf>
    <xf numFmtId="0" fontId="8" fillId="25" borderId="0" xfId="0" applyFont="1" applyFill="1" applyBorder="1" applyAlignment="1" applyProtection="1">
      <alignment vertical="center"/>
      <protection hidden="1"/>
    </xf>
    <xf numFmtId="0" fontId="8" fillId="25" borderId="0" xfId="0" applyFont="1" applyFill="1" applyBorder="1" applyProtection="1">
      <protection hidden="1"/>
    </xf>
    <xf numFmtId="0" fontId="0" fillId="0" borderId="0" xfId="0" applyFont="1" applyFill="1" applyProtection="1">
      <protection hidden="1"/>
    </xf>
    <xf numFmtId="0" fontId="75" fillId="34" borderId="0" xfId="0" applyFont="1" applyFill="1" applyAlignment="1">
      <alignment horizontal="left" vertical="top" wrapText="1"/>
    </xf>
    <xf numFmtId="0" fontId="13" fillId="34" borderId="0" xfId="0" applyFont="1" applyFill="1" applyAlignment="1">
      <alignment horizontal="left" vertical="top" wrapText="1"/>
    </xf>
    <xf numFmtId="0" fontId="13" fillId="34" borderId="0" xfId="0" applyFont="1" applyFill="1"/>
    <xf numFmtId="0" fontId="75" fillId="34" borderId="0" xfId="0" applyFont="1" applyFill="1" applyAlignment="1">
      <alignment horizontal="left" vertical="top"/>
    </xf>
    <xf numFmtId="0" fontId="13" fillId="34" borderId="0" xfId="0" applyFont="1" applyFill="1" applyAlignment="1">
      <alignment horizontal="left" vertical="top"/>
    </xf>
    <xf numFmtId="0" fontId="3" fillId="12" borderId="0" xfId="0" applyFont="1" applyFill="1"/>
    <xf numFmtId="0" fontId="0" fillId="12" borderId="0" xfId="0" applyFont="1" applyFill="1"/>
    <xf numFmtId="0" fontId="0" fillId="12" borderId="0" xfId="0" applyFont="1" applyFill="1" applyBorder="1" applyAlignment="1" applyProtection="1">
      <alignment vertical="center"/>
      <protection hidden="1"/>
    </xf>
    <xf numFmtId="0" fontId="28" fillId="0" borderId="0" xfId="0" applyFont="1" applyFill="1"/>
    <xf numFmtId="0" fontId="28" fillId="15" borderId="0" xfId="0" applyFont="1" applyFill="1"/>
    <xf numFmtId="0" fontId="28" fillId="22" borderId="0" xfId="0" applyFont="1" applyFill="1" applyAlignment="1"/>
    <xf numFmtId="0" fontId="28" fillId="22" borderId="0" xfId="0" applyFont="1" applyFill="1"/>
    <xf numFmtId="0" fontId="28" fillId="15" borderId="0" xfId="0" applyFont="1" applyFill="1" applyBorder="1" applyProtection="1">
      <protection hidden="1"/>
    </xf>
    <xf numFmtId="0" fontId="28" fillId="0" borderId="0" xfId="0" quotePrefix="1" applyFont="1" applyFill="1" applyBorder="1" applyProtection="1">
      <protection hidden="1"/>
    </xf>
    <xf numFmtId="0" fontId="28" fillId="0" borderId="0" xfId="0" applyFont="1" applyFill="1" applyBorder="1" applyProtection="1">
      <protection hidden="1"/>
    </xf>
    <xf numFmtId="0" fontId="28" fillId="12" borderId="0" xfId="0" applyFont="1" applyFill="1"/>
    <xf numFmtId="0" fontId="28" fillId="12" borderId="0" xfId="0" applyFont="1" applyFill="1" applyBorder="1" applyProtection="1">
      <protection hidden="1"/>
    </xf>
    <xf numFmtId="0" fontId="28" fillId="12" borderId="0" xfId="0" applyFont="1" applyFill="1" applyBorder="1" applyAlignment="1" applyProtection="1">
      <alignment vertical="center"/>
      <protection hidden="1"/>
    </xf>
    <xf numFmtId="0" fontId="28" fillId="0" borderId="0" xfId="0" applyFont="1" applyFill="1" applyBorder="1" applyAlignment="1" applyProtection="1">
      <alignment vertical="center"/>
      <protection hidden="1"/>
    </xf>
    <xf numFmtId="0" fontId="28" fillId="15" borderId="0" xfId="0" applyFont="1" applyFill="1" applyBorder="1" applyAlignment="1" applyProtection="1">
      <alignment vertical="center"/>
      <protection hidden="1"/>
    </xf>
    <xf numFmtId="0" fontId="28" fillId="22" borderId="0" xfId="0" applyFont="1" applyFill="1" applyBorder="1" applyAlignment="1" applyProtection="1">
      <alignment vertical="center"/>
      <protection hidden="1"/>
    </xf>
    <xf numFmtId="0" fontId="28" fillId="12" borderId="0" xfId="0" applyFont="1" applyFill="1" applyBorder="1"/>
    <xf numFmtId="0" fontId="0" fillId="3" borderId="119" xfId="0" applyFont="1" applyFill="1" applyBorder="1" applyAlignment="1" applyProtection="1">
      <alignment horizontal="center" vertical="center"/>
      <protection hidden="1"/>
    </xf>
    <xf numFmtId="0" fontId="0" fillId="3" borderId="120" xfId="0" applyFont="1" applyFill="1" applyBorder="1" applyAlignment="1" applyProtection="1">
      <alignment horizontal="center" vertical="center"/>
      <protection hidden="1"/>
    </xf>
    <xf numFmtId="0" fontId="14" fillId="18" borderId="118" xfId="0" applyFont="1" applyFill="1" applyBorder="1" applyAlignment="1" applyProtection="1">
      <alignment horizontal="center" vertical="center"/>
      <protection hidden="1"/>
    </xf>
    <xf numFmtId="0" fontId="14" fillId="18" borderId="11" xfId="0" applyFont="1" applyFill="1" applyBorder="1" applyAlignment="1" applyProtection="1">
      <alignment horizontal="center" vertical="center"/>
      <protection hidden="1"/>
    </xf>
    <xf numFmtId="0" fontId="14" fillId="18" borderId="119" xfId="0" applyFont="1" applyFill="1" applyBorder="1" applyAlignment="1" applyProtection="1">
      <alignment horizontal="center" vertical="center"/>
      <protection hidden="1"/>
    </xf>
    <xf numFmtId="0" fontId="14" fillId="18" borderId="120" xfId="0" applyFont="1" applyFill="1" applyBorder="1" applyAlignment="1" applyProtection="1">
      <alignment horizontal="center" vertical="center"/>
      <protection hidden="1"/>
    </xf>
    <xf numFmtId="0" fontId="37" fillId="3" borderId="121" xfId="0" applyNumberFormat="1" applyFont="1" applyFill="1" applyBorder="1" applyAlignment="1" applyProtection="1">
      <alignment horizontal="center" vertical="center"/>
      <protection hidden="1"/>
    </xf>
    <xf numFmtId="165" fontId="37" fillId="3" borderId="121" xfId="0" applyNumberFormat="1" applyFont="1" applyFill="1" applyBorder="1" applyAlignment="1" applyProtection="1">
      <alignment horizontal="center" vertical="center"/>
      <protection hidden="1"/>
    </xf>
    <xf numFmtId="0" fontId="14" fillId="18" borderId="118" xfId="0" applyNumberFormat="1" applyFont="1" applyFill="1" applyBorder="1" applyAlignment="1" applyProtection="1">
      <alignment horizontal="center" vertical="center"/>
      <protection hidden="1"/>
    </xf>
    <xf numFmtId="165" fontId="14" fillId="18" borderId="10" xfId="0" applyNumberFormat="1" applyFont="1" applyFill="1" applyBorder="1" applyAlignment="1" applyProtection="1">
      <alignment horizontal="center" vertical="center"/>
      <protection hidden="1"/>
    </xf>
    <xf numFmtId="165" fontId="14" fillId="18" borderId="121" xfId="0" applyNumberFormat="1" applyFont="1" applyFill="1" applyBorder="1" applyAlignment="1" applyProtection="1">
      <alignment horizontal="center" vertical="center"/>
      <protection hidden="1"/>
    </xf>
    <xf numFmtId="10" fontId="37" fillId="3" borderId="121" xfId="0" applyNumberFormat="1" applyFont="1" applyFill="1" applyBorder="1" applyAlignment="1" applyProtection="1">
      <alignment horizontal="center" vertical="center"/>
      <protection hidden="1"/>
    </xf>
    <xf numFmtId="3" fontId="0" fillId="0" borderId="0" xfId="0" applyNumberFormat="1" applyFill="1"/>
    <xf numFmtId="0" fontId="38" fillId="0" borderId="0" xfId="0" applyFont="1" applyFill="1"/>
    <xf numFmtId="171" fontId="31" fillId="36" borderId="91" xfId="0" applyNumberFormat="1" applyFont="1" applyFill="1" applyBorder="1" applyProtection="1">
      <protection hidden="1"/>
    </xf>
    <xf numFmtId="0" fontId="31" fillId="37" borderId="105" xfId="0" applyNumberFormat="1" applyFont="1" applyFill="1" applyBorder="1" applyProtection="1">
      <protection locked="0"/>
    </xf>
    <xf numFmtId="171" fontId="31" fillId="37" borderId="91" xfId="0" applyNumberFormat="1" applyFont="1" applyFill="1" applyBorder="1" applyProtection="1">
      <protection locked="0"/>
    </xf>
    <xf numFmtId="171" fontId="31" fillId="0" borderId="8" xfId="0" applyNumberFormat="1" applyFont="1" applyFill="1" applyBorder="1" applyProtection="1">
      <protection hidden="1"/>
    </xf>
    <xf numFmtId="0" fontId="31" fillId="37" borderId="0" xfId="0" applyNumberFormat="1" applyFont="1" applyFill="1" applyBorder="1" applyAlignment="1" applyProtection="1">
      <alignment horizontal="left" indent="1"/>
      <protection locked="0"/>
    </xf>
    <xf numFmtId="0" fontId="31" fillId="8" borderId="12" xfId="0" applyFont="1" applyFill="1" applyBorder="1" applyAlignment="1" applyProtection="1">
      <alignment horizontal="center"/>
      <protection locked="0"/>
    </xf>
    <xf numFmtId="0" fontId="31" fillId="8" borderId="9" xfId="0" applyFont="1" applyFill="1" applyBorder="1" applyAlignment="1" applyProtection="1">
      <alignment horizontal="center"/>
      <protection locked="0"/>
    </xf>
    <xf numFmtId="0" fontId="31" fillId="37" borderId="5" xfId="0" applyNumberFormat="1" applyFont="1" applyFill="1" applyBorder="1" applyAlignment="1" applyProtection="1">
      <alignment horizontal="left" indent="1"/>
      <protection locked="0"/>
    </xf>
    <xf numFmtId="0" fontId="31" fillId="37" borderId="104" xfId="0" applyNumberFormat="1" applyFont="1" applyFill="1" applyBorder="1" applyProtection="1">
      <protection locked="0"/>
    </xf>
    <xf numFmtId="0" fontId="31" fillId="18" borderId="5" xfId="0" applyFont="1" applyFill="1" applyBorder="1" applyAlignment="1" applyProtection="1">
      <alignment horizontal="left"/>
      <protection hidden="1"/>
    </xf>
    <xf numFmtId="171" fontId="31" fillId="37" borderId="89" xfId="0" applyNumberFormat="1" applyFont="1" applyFill="1" applyBorder="1" applyProtection="1">
      <protection locked="0"/>
    </xf>
    <xf numFmtId="171" fontId="31" fillId="18" borderId="89" xfId="0" applyNumberFormat="1" applyFont="1" applyFill="1" applyBorder="1" applyProtection="1">
      <protection hidden="1"/>
    </xf>
    <xf numFmtId="171" fontId="31" fillId="0" borderId="6" xfId="0" applyNumberFormat="1" applyFont="1" applyFill="1" applyBorder="1" applyProtection="1">
      <protection hidden="1"/>
    </xf>
    <xf numFmtId="0" fontId="31" fillId="37" borderId="14" xfId="0" applyNumberFormat="1" applyFont="1" applyFill="1" applyBorder="1" applyAlignment="1" applyProtection="1">
      <alignment horizontal="left" indent="1"/>
      <protection locked="0"/>
    </xf>
    <xf numFmtId="0" fontId="31" fillId="37" borderId="103" xfId="0" applyNumberFormat="1" applyFont="1" applyFill="1" applyBorder="1" applyProtection="1">
      <protection locked="0"/>
    </xf>
    <xf numFmtId="171" fontId="31" fillId="37" borderId="90" xfId="0" applyNumberFormat="1" applyFont="1" applyFill="1" applyBorder="1" applyProtection="1">
      <protection locked="0"/>
    </xf>
    <xf numFmtId="171" fontId="31" fillId="18" borderId="90" xfId="0" applyNumberFormat="1" applyFont="1" applyFill="1" applyBorder="1" applyProtection="1">
      <protection hidden="1"/>
    </xf>
    <xf numFmtId="171" fontId="31" fillId="0" borderId="15" xfId="0" applyNumberFormat="1" applyFont="1" applyFill="1" applyBorder="1" applyProtection="1">
      <protection hidden="1"/>
    </xf>
    <xf numFmtId="3" fontId="31" fillId="36" borderId="92" xfId="0" applyNumberFormat="1" applyFont="1" applyFill="1" applyBorder="1" applyProtection="1">
      <protection hidden="1"/>
    </xf>
    <xf numFmtId="0" fontId="31" fillId="37" borderId="104" xfId="0" applyFont="1" applyFill="1" applyBorder="1" applyProtection="1">
      <protection locked="0"/>
    </xf>
    <xf numFmtId="3" fontId="31" fillId="37" borderId="89" xfId="0" applyNumberFormat="1" applyFont="1" applyFill="1" applyBorder="1" applyProtection="1">
      <protection locked="0"/>
    </xf>
    <xf numFmtId="3" fontId="31" fillId="0" borderId="6" xfId="0" applyNumberFormat="1" applyFont="1" applyFill="1" applyBorder="1" applyProtection="1">
      <protection hidden="1"/>
    </xf>
    <xf numFmtId="0" fontId="31" fillId="37" borderId="103" xfId="0" applyFont="1" applyFill="1" applyBorder="1" applyProtection="1">
      <protection locked="0"/>
    </xf>
    <xf numFmtId="3" fontId="31" fillId="37" borderId="90" xfId="0" applyNumberFormat="1" applyFont="1" applyFill="1" applyBorder="1" applyProtection="1">
      <protection locked="0"/>
    </xf>
    <xf numFmtId="3" fontId="31" fillId="0" borderId="15" xfId="0" applyNumberFormat="1" applyFont="1" applyFill="1" applyBorder="1" applyProtection="1">
      <protection hidden="1"/>
    </xf>
    <xf numFmtId="0" fontId="43" fillId="24" borderId="0" xfId="0" applyNumberFormat="1" applyFont="1" applyFill="1" applyProtection="1">
      <protection hidden="1"/>
    </xf>
    <xf numFmtId="0" fontId="43" fillId="24" borderId="0" xfId="0" applyNumberFormat="1" applyFont="1" applyFill="1" applyBorder="1" applyAlignment="1" applyProtection="1">
      <alignment horizontal="right"/>
      <protection hidden="1"/>
    </xf>
    <xf numFmtId="0" fontId="76" fillId="24" borderId="0" xfId="0" applyNumberFormat="1" applyFont="1" applyFill="1" applyBorder="1" applyAlignment="1" applyProtection="1">
      <alignment horizontal="center"/>
      <protection hidden="1"/>
    </xf>
    <xf numFmtId="0" fontId="77" fillId="24" borderId="0" xfId="0" applyFont="1" applyFill="1"/>
    <xf numFmtId="0" fontId="43" fillId="24" borderId="0" xfId="0" applyNumberFormat="1" applyFont="1" applyFill="1" applyBorder="1" applyAlignment="1" applyProtection="1">
      <protection hidden="1"/>
    </xf>
    <xf numFmtId="164" fontId="43" fillId="24" borderId="0" xfId="0" quotePrefix="1" applyNumberFormat="1" applyFont="1" applyFill="1" applyAlignment="1" applyProtection="1">
      <alignment horizontal="right"/>
      <protection hidden="1"/>
    </xf>
    <xf numFmtId="164" fontId="43" fillId="24" borderId="0" xfId="0" applyNumberFormat="1" applyFont="1" applyFill="1" applyAlignment="1" applyProtection="1">
      <alignment horizontal="right"/>
      <protection hidden="1"/>
    </xf>
    <xf numFmtId="10" fontId="43" fillId="24" borderId="0" xfId="0" applyNumberFormat="1" applyFont="1" applyFill="1" applyBorder="1" applyAlignment="1" applyProtection="1">
      <protection hidden="1"/>
    </xf>
    <xf numFmtId="3" fontId="43" fillId="24" borderId="0" xfId="0" applyNumberFormat="1" applyFont="1" applyFill="1" applyBorder="1" applyAlignment="1" applyProtection="1">
      <protection hidden="1"/>
    </xf>
    <xf numFmtId="0" fontId="43" fillId="24" borderId="0" xfId="0" quotePrefix="1" applyNumberFormat="1" applyFont="1" applyFill="1" applyBorder="1" applyAlignment="1" applyProtection="1">
      <protection hidden="1"/>
    </xf>
    <xf numFmtId="164" fontId="77" fillId="24" borderId="0" xfId="0" applyNumberFormat="1" applyFont="1" applyFill="1" applyProtection="1">
      <protection hidden="1"/>
    </xf>
    <xf numFmtId="0" fontId="43" fillId="24" borderId="0" xfId="0" applyNumberFormat="1" applyFont="1" applyFill="1" applyBorder="1" applyProtection="1">
      <protection hidden="1"/>
    </xf>
    <xf numFmtId="0" fontId="43" fillId="24" borderId="0" xfId="0" quotePrefix="1" applyNumberFormat="1" applyFont="1" applyFill="1" applyBorder="1" applyProtection="1">
      <protection hidden="1"/>
    </xf>
    <xf numFmtId="1" fontId="43" fillId="24" borderId="0" xfId="0" quotePrefix="1" applyNumberFormat="1" applyFont="1" applyFill="1" applyBorder="1" applyProtection="1">
      <protection hidden="1"/>
    </xf>
    <xf numFmtId="0" fontId="43" fillId="24" borderId="0" xfId="0" applyNumberFormat="1" applyFont="1" applyFill="1" applyAlignment="1" applyProtection="1">
      <alignment horizontal="right"/>
      <protection hidden="1"/>
    </xf>
    <xf numFmtId="164" fontId="43" fillId="24" borderId="0" xfId="0" applyNumberFormat="1" applyFont="1" applyFill="1" applyProtection="1"/>
    <xf numFmtId="0" fontId="43" fillId="24" borderId="0" xfId="0" applyNumberFormat="1" applyFont="1" applyFill="1" applyProtection="1"/>
    <xf numFmtId="0" fontId="43" fillId="24" borderId="0" xfId="0" applyNumberFormat="1" applyFont="1" applyFill="1" applyBorder="1" applyProtection="1"/>
    <xf numFmtId="0" fontId="76" fillId="24" borderId="0" xfId="0" applyNumberFormat="1" applyFont="1" applyFill="1" applyAlignment="1" applyProtection="1">
      <alignment horizontal="center"/>
    </xf>
    <xf numFmtId="0" fontId="78" fillId="0" borderId="0" xfId="0" applyFont="1" applyFill="1"/>
    <xf numFmtId="3" fontId="31" fillId="3" borderId="90" xfId="0" applyNumberFormat="1" applyFont="1" applyFill="1" applyBorder="1" applyAlignment="1" applyProtection="1">
      <alignment horizontal="right"/>
      <protection hidden="1"/>
    </xf>
    <xf numFmtId="166" fontId="31" fillId="37" borderId="91" xfId="0" applyNumberFormat="1" applyFont="1" applyFill="1" applyBorder="1" applyProtection="1">
      <protection locked="0"/>
    </xf>
    <xf numFmtId="180" fontId="31" fillId="37" borderId="90" xfId="0" applyNumberFormat="1" applyFont="1" applyFill="1" applyBorder="1" applyProtection="1">
      <protection locked="0"/>
    </xf>
    <xf numFmtId="166" fontId="31" fillId="37" borderId="90" xfId="0" applyNumberFormat="1" applyFont="1" applyFill="1" applyBorder="1" applyProtection="1">
      <protection locked="0"/>
    </xf>
    <xf numFmtId="0" fontId="0" fillId="0" borderId="0" xfId="0" quotePrefix="1"/>
    <xf numFmtId="49" fontId="0" fillId="0" borderId="0" xfId="0" applyNumberFormat="1"/>
    <xf numFmtId="3" fontId="0" fillId="0" borderId="0" xfId="0" applyNumberFormat="1"/>
    <xf numFmtId="181" fontId="0" fillId="0" borderId="0" xfId="0" applyNumberFormat="1"/>
    <xf numFmtId="0" fontId="80" fillId="0" borderId="0" xfId="0" applyFont="1" applyFill="1"/>
    <xf numFmtId="0" fontId="79" fillId="0" borderId="0" xfId="0" applyFont="1" applyFill="1"/>
    <xf numFmtId="0" fontId="38" fillId="0" borderId="0" xfId="0" applyFont="1"/>
    <xf numFmtId="0" fontId="44" fillId="0" borderId="0" xfId="0" applyFont="1" applyFill="1"/>
    <xf numFmtId="0" fontId="79" fillId="0" borderId="0" xfId="0" applyFont="1"/>
    <xf numFmtId="0" fontId="26" fillId="23" borderId="4" xfId="0" applyFont="1" applyFill="1" applyBorder="1" applyAlignment="1" applyProtection="1">
      <alignment horizontal="left" vertical="center"/>
      <protection locked="0"/>
    </xf>
    <xf numFmtId="0" fontId="26" fillId="23" borderId="5" xfId="0" applyFont="1" applyFill="1" applyBorder="1" applyAlignment="1" applyProtection="1">
      <alignment horizontal="left" vertical="center"/>
      <protection locked="0"/>
    </xf>
    <xf numFmtId="0" fontId="26" fillId="23" borderId="6" xfId="0" applyFont="1" applyFill="1" applyBorder="1" applyAlignment="1" applyProtection="1">
      <alignment horizontal="left" vertical="center"/>
      <protection locked="0"/>
    </xf>
    <xf numFmtId="0" fontId="26" fillId="23" borderId="7" xfId="0" applyFont="1" applyFill="1" applyBorder="1" applyAlignment="1" applyProtection="1">
      <alignment horizontal="left" vertical="center"/>
      <protection locked="0"/>
    </xf>
    <xf numFmtId="0" fontId="26" fillId="23" borderId="0" xfId="0" applyFont="1" applyFill="1" applyAlignment="1" applyProtection="1">
      <alignment horizontal="left" vertical="center"/>
      <protection locked="0"/>
    </xf>
    <xf numFmtId="0" fontId="26" fillId="23" borderId="8" xfId="0" applyFont="1" applyFill="1" applyBorder="1" applyAlignment="1" applyProtection="1">
      <alignment horizontal="left" vertical="center"/>
      <protection locked="0"/>
    </xf>
    <xf numFmtId="49" fontId="36" fillId="23" borderId="1" xfId="0" applyNumberFormat="1" applyFont="1" applyFill="1" applyBorder="1" applyAlignment="1" applyProtection="1">
      <alignment horizontal="left" vertical="center" shrinkToFit="1"/>
      <protection locked="0"/>
    </xf>
    <xf numFmtId="49" fontId="36" fillId="23" borderId="2" xfId="0" applyNumberFormat="1" applyFont="1" applyFill="1" applyBorder="1" applyAlignment="1" applyProtection="1">
      <alignment horizontal="left" vertical="center" shrinkToFit="1"/>
      <protection locked="0"/>
    </xf>
    <xf numFmtId="49" fontId="36" fillId="23" borderId="3" xfId="0" applyNumberFormat="1" applyFont="1" applyFill="1" applyBorder="1" applyAlignment="1" applyProtection="1">
      <alignment horizontal="left" vertical="center" shrinkToFit="1"/>
      <protection locked="0"/>
    </xf>
    <xf numFmtId="0" fontId="26" fillId="23" borderId="1" xfId="0" applyFont="1" applyFill="1" applyBorder="1" applyAlignment="1" applyProtection="1">
      <alignment horizontal="left" vertical="center"/>
      <protection locked="0"/>
    </xf>
    <xf numFmtId="0" fontId="25" fillId="23" borderId="2" xfId="0" applyFont="1" applyFill="1" applyBorder="1" applyAlignment="1" applyProtection="1">
      <alignment horizontal="left" vertical="center"/>
      <protection locked="0"/>
    </xf>
    <xf numFmtId="0" fontId="25" fillId="23" borderId="3" xfId="0" applyFont="1" applyFill="1" applyBorder="1" applyAlignment="1" applyProtection="1">
      <alignment horizontal="left" vertical="center"/>
      <protection locked="0"/>
    </xf>
    <xf numFmtId="3" fontId="26" fillId="23" borderId="4" xfId="0" applyNumberFormat="1" applyFont="1" applyFill="1" applyBorder="1" applyAlignment="1" applyProtection="1">
      <alignment horizontal="left" vertical="center"/>
      <protection locked="0"/>
    </xf>
    <xf numFmtId="0" fontId="26" fillId="23" borderId="13" xfId="0" applyFont="1" applyFill="1" applyBorder="1" applyAlignment="1" applyProtection="1">
      <alignment horizontal="left" vertical="center"/>
      <protection locked="0"/>
    </xf>
    <xf numFmtId="0" fontId="26" fillId="23" borderId="14" xfId="0" applyFont="1" applyFill="1" applyBorder="1" applyAlignment="1" applyProtection="1">
      <alignment horizontal="left" vertical="center"/>
      <protection locked="0"/>
    </xf>
    <xf numFmtId="0" fontId="26" fillId="23" borderId="15" xfId="0" applyFont="1" applyFill="1" applyBorder="1" applyAlignment="1" applyProtection="1">
      <alignment horizontal="left" vertical="center"/>
      <protection locked="0"/>
    </xf>
    <xf numFmtId="0" fontId="28" fillId="18" borderId="0" xfId="0" applyFont="1" applyFill="1" applyAlignment="1" applyProtection="1">
      <alignment vertical="center" shrinkToFit="1"/>
      <protection hidden="1"/>
    </xf>
    <xf numFmtId="0" fontId="25" fillId="23" borderId="0" xfId="0" applyFont="1" applyFill="1" applyBorder="1" applyAlignment="1" applyProtection="1">
      <alignment horizontal="left" vertical="center"/>
      <protection locked="0"/>
    </xf>
    <xf numFmtId="0" fontId="25" fillId="23" borderId="0" xfId="0" applyFont="1" applyFill="1" applyAlignment="1" applyProtection="1">
      <alignment horizontal="left" vertical="center"/>
      <protection locked="0"/>
    </xf>
    <xf numFmtId="0" fontId="26" fillId="18" borderId="14" xfId="0" applyFont="1" applyFill="1" applyBorder="1" applyAlignment="1" applyProtection="1">
      <alignment horizontal="left" vertical="center" shrinkToFit="1"/>
      <protection hidden="1"/>
    </xf>
    <xf numFmtId="0" fontId="25" fillId="18" borderId="14" xfId="0" applyFont="1" applyFill="1" applyBorder="1" applyAlignment="1" applyProtection="1">
      <alignment horizontal="left" vertical="center" shrinkToFit="1"/>
      <protection hidden="1"/>
    </xf>
    <xf numFmtId="0" fontId="25" fillId="18" borderId="0" xfId="0" applyFont="1" applyFill="1" applyAlignment="1" applyProtection="1">
      <alignment horizontal="left" vertical="center" shrinkToFit="1"/>
      <protection hidden="1"/>
    </xf>
    <xf numFmtId="0" fontId="31" fillId="18" borderId="0" xfId="0" applyFont="1" applyFill="1" applyAlignment="1" applyProtection="1">
      <alignment horizontal="left" vertical="center" shrinkToFit="1"/>
      <protection hidden="1"/>
    </xf>
  </cellXfs>
  <cellStyles count="2">
    <cellStyle name="Normal" xfId="0" builtinId="0"/>
    <cellStyle name="Normal 2" xfId="1" xr:uid="{00000000-0005-0000-0000-000001000000}"/>
  </cellStyles>
  <dxfs count="3">
    <dxf>
      <font>
        <condense val="0"/>
        <extend val="0"/>
        <color indexed="9"/>
      </font>
    </dxf>
    <dxf>
      <font>
        <condense val="0"/>
        <extend val="0"/>
        <color indexed="9"/>
      </font>
      <fill>
        <patternFill>
          <bgColor indexed="29"/>
        </patternFill>
      </fill>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76FF"/>
      <rgbColor rgb="00FFFF00"/>
      <rgbColor rgb="00FF00FF"/>
      <rgbColor rgb="00C2E2F6"/>
      <rgbColor rgb="00800000"/>
      <rgbColor rgb="00008000"/>
      <rgbColor rgb="00003FBE"/>
      <rgbColor rgb="00808000"/>
      <rgbColor rgb="00800080"/>
      <rgbColor rgb="00008080"/>
      <rgbColor rgb="00F5F5F5"/>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EEEC2"/>
      <rgbColor rgb="00DBE9F9"/>
      <rgbColor rgb="00CC99CC"/>
      <rgbColor rgb="00CC99FF"/>
      <rgbColor rgb="00E9E9E9"/>
      <rgbColor rgb="004277CC"/>
      <rgbColor rgb="0033CCCC"/>
      <rgbColor rgb="00A1E9E7"/>
      <rgbColor rgb="00999933"/>
      <rgbColor rgb="00FFE395"/>
      <rgbColor rgb="00996666"/>
      <rgbColor rgb="007F9DB9"/>
      <rgbColor rgb="00969696"/>
      <rgbColor rgb="003333CC"/>
      <rgbColor rgb="00336666"/>
      <rgbColor rgb="00000099"/>
      <rgbColor rgb="00333300"/>
      <rgbColor rgb="00663300"/>
      <rgbColor rgb="00993366"/>
      <rgbColor rgb="00333399"/>
      <rgbColor rgb="00424242"/>
    </indexedColors>
    <mruColors>
      <color rgb="FFF9F9F9"/>
      <color rgb="FFFBFBFB"/>
      <color rgb="FFF7F9FB"/>
      <color rgb="FFF4F7FA"/>
      <color rgb="FFF4F7F7"/>
      <color rgb="FF4BACC6"/>
      <color rgb="FF8064A2"/>
      <color rgb="FF9BBB59"/>
      <color rgb="FFC0504D"/>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18" Type="http://schemas.openxmlformats.org/officeDocument/2006/relationships/worksheet" Target="worksheets/sheet15.xml"/><Relationship Id="rId26" Type="http://schemas.openxmlformats.org/officeDocument/2006/relationships/worksheet" Target="worksheets/sheet23.xml"/><Relationship Id="rId39" Type="http://schemas.openxmlformats.org/officeDocument/2006/relationships/worksheet" Target="worksheets/sheet36.xml"/><Relationship Id="rId21" Type="http://schemas.openxmlformats.org/officeDocument/2006/relationships/worksheet" Target="worksheets/sheet18.xml"/><Relationship Id="rId34" Type="http://schemas.openxmlformats.org/officeDocument/2006/relationships/worksheet" Target="worksheets/sheet31.xml"/><Relationship Id="rId42" Type="http://schemas.openxmlformats.org/officeDocument/2006/relationships/worksheet" Target="worksheets/sheet39.xml"/><Relationship Id="rId47" Type="http://schemas.openxmlformats.org/officeDocument/2006/relationships/worksheet" Target="worksheets/sheet44.xml"/><Relationship Id="rId50" Type="http://schemas.openxmlformats.org/officeDocument/2006/relationships/worksheet" Target="worksheets/sheet47.xml"/><Relationship Id="rId55" Type="http://schemas.openxmlformats.org/officeDocument/2006/relationships/worksheet" Target="worksheets/sheet52.xml"/><Relationship Id="rId7" Type="http://schemas.openxmlformats.org/officeDocument/2006/relationships/chartsheet" Target="chartsheets/sheet2.xml"/><Relationship Id="rId12" Type="http://schemas.openxmlformats.org/officeDocument/2006/relationships/worksheet" Target="worksheets/sheet9.xml"/><Relationship Id="rId17" Type="http://schemas.openxmlformats.org/officeDocument/2006/relationships/worksheet" Target="worksheets/sheet14.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worksheet" Target="worksheets/sheet35.xml"/><Relationship Id="rId46" Type="http://schemas.openxmlformats.org/officeDocument/2006/relationships/worksheet" Target="worksheets/sheet43.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3.xml"/><Relationship Id="rId20" Type="http://schemas.openxmlformats.org/officeDocument/2006/relationships/worksheet" Target="worksheets/sheet17.xml"/><Relationship Id="rId29" Type="http://schemas.openxmlformats.org/officeDocument/2006/relationships/worksheet" Target="worksheets/sheet26.xml"/><Relationship Id="rId41" Type="http://schemas.openxmlformats.org/officeDocument/2006/relationships/worksheet" Target="worksheets/sheet38.xml"/><Relationship Id="rId54" Type="http://schemas.openxmlformats.org/officeDocument/2006/relationships/worksheet" Target="worksheets/sheet51.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8.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worksheet" Target="worksheets/sheet34.xml"/><Relationship Id="rId40" Type="http://schemas.openxmlformats.org/officeDocument/2006/relationships/worksheet" Target="worksheets/sheet37.xml"/><Relationship Id="rId45" Type="http://schemas.openxmlformats.org/officeDocument/2006/relationships/worksheet" Target="worksheets/sheet42.xml"/><Relationship Id="rId53" Type="http://schemas.openxmlformats.org/officeDocument/2006/relationships/worksheet" Target="worksheets/sheet50.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2.xml"/><Relationship Id="rId23" Type="http://schemas.openxmlformats.org/officeDocument/2006/relationships/worksheet" Target="worksheets/sheet20.xml"/><Relationship Id="rId28" Type="http://schemas.openxmlformats.org/officeDocument/2006/relationships/worksheet" Target="worksheets/sheet25.xml"/><Relationship Id="rId36" Type="http://schemas.openxmlformats.org/officeDocument/2006/relationships/worksheet" Target="worksheets/sheet33.xml"/><Relationship Id="rId49" Type="http://schemas.openxmlformats.org/officeDocument/2006/relationships/worksheet" Target="worksheets/sheet46.xml"/><Relationship Id="rId57" Type="http://schemas.openxmlformats.org/officeDocument/2006/relationships/theme" Target="theme/theme1.xml"/><Relationship Id="rId10" Type="http://schemas.openxmlformats.org/officeDocument/2006/relationships/worksheet" Target="worksheets/sheet7.xml"/><Relationship Id="rId19" Type="http://schemas.openxmlformats.org/officeDocument/2006/relationships/worksheet" Target="worksheets/sheet16.xml"/><Relationship Id="rId31" Type="http://schemas.openxmlformats.org/officeDocument/2006/relationships/worksheet" Target="worksheets/sheet28.xml"/><Relationship Id="rId44" Type="http://schemas.openxmlformats.org/officeDocument/2006/relationships/worksheet" Target="worksheets/sheet41.xml"/><Relationship Id="rId52" Type="http://schemas.openxmlformats.org/officeDocument/2006/relationships/worksheet" Target="worksheets/sheet49.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worksheet" Target="worksheets/sheet19.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worksheet" Target="worksheets/sheet32.xml"/><Relationship Id="rId43" Type="http://schemas.openxmlformats.org/officeDocument/2006/relationships/worksheet" Target="worksheets/sheet40.xml"/><Relationship Id="rId48" Type="http://schemas.openxmlformats.org/officeDocument/2006/relationships/worksheet" Target="worksheets/sheet45.xml"/><Relationship Id="rId56" Type="http://schemas.openxmlformats.org/officeDocument/2006/relationships/worksheet" Target="worksheets/sheet53.xml"/><Relationship Id="rId8" Type="http://schemas.openxmlformats.org/officeDocument/2006/relationships/chartsheet" Target="chartsheets/sheet3.xml"/><Relationship Id="rId51" Type="http://schemas.openxmlformats.org/officeDocument/2006/relationships/worksheet" Target="worksheets/sheet48.xml"/><Relationship Id="rId3" Type="http://schemas.openxmlformats.org/officeDocument/2006/relationships/worksheet" Target="worksheets/sheet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fi-FI" sz="1200" b="1" i="0" baseline="0">
                <a:latin typeface="+mn-lt"/>
              </a:rPr>
              <a:t>Cumulative Discounted Free Cash Flow
</a:t>
            </a:r>
            <a:r>
              <a:rPr lang="fi-FI" sz="1200" b="0" i="0" baseline="0">
                <a:latin typeface="+mn-lt"/>
              </a:rPr>
              <a:t>(Payback time (NPV=0) = 0,0 Based on discounted FCF)</a:t>
            </a:r>
            <a:endParaRPr lang="fi-FI" sz="1200" b="0">
              <a:latin typeface="+mn-lt"/>
            </a:endParaRPr>
          </a:p>
        </c:rich>
      </c:tx>
      <c:overlay val="0"/>
    </c:title>
    <c:autoTitleDeleted val="0"/>
    <c:plotArea>
      <c:layout/>
      <c:barChart>
        <c:barDir val="col"/>
        <c:grouping val="stacked"/>
        <c:varyColors val="0"/>
        <c:ser>
          <c:idx val="0"/>
          <c:order val="0"/>
          <c:spPr>
            <a:solidFill>
              <a:schemeClr val="accent2"/>
            </a:solidFill>
          </c:spPr>
          <c:invertIfNegative val="0"/>
          <c:cat>
            <c:strRef>
              <c:f>[0]!FinYearsR</c:f>
              <c:strCache>
                <c:ptCount val="6"/>
                <c:pt idx="0">
                  <c:v>12/2019</c:v>
                </c:pt>
                <c:pt idx="1">
                  <c:v>12/2020</c:v>
                </c:pt>
                <c:pt idx="2">
                  <c:v>12/2021</c:v>
                </c:pt>
                <c:pt idx="3">
                  <c:v>12/2022</c:v>
                </c:pt>
                <c:pt idx="4">
                  <c:v>12/2023</c:v>
                </c:pt>
                <c:pt idx="5">
                  <c:v>12/2024</c:v>
                </c:pt>
              </c:strCache>
            </c:strRef>
          </c:cat>
          <c:val>
            <c:numRef>
              <c:f>[0]!FinYearsNeg</c:f>
              <c:numCache>
                <c:formatCode>#,##0</c:formatCode>
                <c:ptCount val="6"/>
                <c:pt idx="0">
                  <c:v>-3924249.8769574608</c:v>
                </c:pt>
                <c:pt idx="1">
                  <c:v>-2664739.507511653</c:v>
                </c:pt>
                <c:pt idx="2">
                  <c:v>-1036689.1089818352</c:v>
                </c:pt>
                <c:pt idx="3">
                  <c:v>#N/A</c:v>
                </c:pt>
                <c:pt idx="4">
                  <c:v>#N/A</c:v>
                </c:pt>
                <c:pt idx="5">
                  <c:v>#N/A</c:v>
                </c:pt>
              </c:numCache>
            </c:numRef>
          </c:val>
          <c:extLst>
            <c:ext xmlns:c16="http://schemas.microsoft.com/office/drawing/2014/chart" uri="{C3380CC4-5D6E-409C-BE32-E72D297353CC}">
              <c16:uniqueId val="{00000000-AF4E-4EE9-B325-69320298C44E}"/>
            </c:ext>
          </c:extLst>
        </c:ser>
        <c:ser>
          <c:idx val="1"/>
          <c:order val="1"/>
          <c:spPr>
            <a:solidFill>
              <a:schemeClr val="accent3"/>
            </a:solidFill>
          </c:spPr>
          <c:invertIfNegative val="0"/>
          <c:cat>
            <c:strRef>
              <c:f>[0]!FinYearsR</c:f>
              <c:strCache>
                <c:ptCount val="6"/>
                <c:pt idx="0">
                  <c:v>12/2019</c:v>
                </c:pt>
                <c:pt idx="1">
                  <c:v>12/2020</c:v>
                </c:pt>
                <c:pt idx="2">
                  <c:v>12/2021</c:v>
                </c:pt>
                <c:pt idx="3">
                  <c:v>12/2022</c:v>
                </c:pt>
                <c:pt idx="4">
                  <c:v>12/2023</c:v>
                </c:pt>
                <c:pt idx="5">
                  <c:v>12/2024</c:v>
                </c:pt>
              </c:strCache>
            </c:strRef>
          </c:cat>
          <c:val>
            <c:numRef>
              <c:f>[0]!FinYearsPos</c:f>
              <c:numCache>
                <c:formatCode>#,##0</c:formatCode>
                <c:ptCount val="6"/>
                <c:pt idx="0">
                  <c:v>#N/A</c:v>
                </c:pt>
                <c:pt idx="1">
                  <c:v>#N/A</c:v>
                </c:pt>
                <c:pt idx="2">
                  <c:v>#N/A</c:v>
                </c:pt>
                <c:pt idx="3">
                  <c:v>1333631.2410902111</c:v>
                </c:pt>
                <c:pt idx="4">
                  <c:v>4447371.5621488057</c:v>
                </c:pt>
                <c:pt idx="5">
                  <c:v>8526816.3334430382</c:v>
                </c:pt>
              </c:numCache>
            </c:numRef>
          </c:val>
          <c:extLst>
            <c:ext xmlns:c16="http://schemas.microsoft.com/office/drawing/2014/chart" uri="{C3380CC4-5D6E-409C-BE32-E72D297353CC}">
              <c16:uniqueId val="{00000001-AF4E-4EE9-B325-69320298C44E}"/>
            </c:ext>
          </c:extLst>
        </c:ser>
        <c:dLbls>
          <c:showLegendKey val="0"/>
          <c:showVal val="0"/>
          <c:showCatName val="0"/>
          <c:showSerName val="0"/>
          <c:showPercent val="0"/>
          <c:showBubbleSize val="0"/>
        </c:dLbls>
        <c:gapWidth val="50"/>
        <c:overlap val="100"/>
        <c:axId val="51106176"/>
        <c:axId val="51107712"/>
      </c:barChart>
      <c:catAx>
        <c:axId val="51106176"/>
        <c:scaling>
          <c:orientation val="minMax"/>
        </c:scaling>
        <c:delete val="0"/>
        <c:axPos val="b"/>
        <c:numFmt formatCode="General" sourceLinked="0"/>
        <c:majorTickMark val="none"/>
        <c:minorTickMark val="none"/>
        <c:tickLblPos val="low"/>
        <c:crossAx val="51107712"/>
        <c:crosses val="autoZero"/>
        <c:auto val="1"/>
        <c:lblAlgn val="ctr"/>
        <c:lblOffset val="100"/>
        <c:noMultiLvlLbl val="0"/>
      </c:catAx>
      <c:valAx>
        <c:axId val="51107712"/>
        <c:scaling>
          <c:orientation val="minMax"/>
        </c:scaling>
        <c:delete val="0"/>
        <c:axPos val="l"/>
        <c:majorGridlines/>
        <c:numFmt formatCode="#,##0" sourceLinked="1"/>
        <c:majorTickMark val="out"/>
        <c:minorTickMark val="none"/>
        <c:tickLblPos val="low"/>
        <c:crossAx val="51106176"/>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Analysis!$D$364</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Analysis!$F$362:$J$362</c:f>
              <c:numCache>
                <c:formatCode>\+0.0" %";\-0.0" %";0.0" %"</c:formatCode>
                <c:ptCount val="5"/>
                <c:pt idx="0">
                  <c:v>-20</c:v>
                </c:pt>
                <c:pt idx="1">
                  <c:v>-10</c:v>
                </c:pt>
                <c:pt idx="2">
                  <c:v>0</c:v>
                </c:pt>
                <c:pt idx="3">
                  <c:v>10</c:v>
                </c:pt>
                <c:pt idx="4">
                  <c:v>20</c:v>
                </c:pt>
              </c:numCache>
            </c:numRef>
          </c:cat>
          <c:val>
            <c:numRef>
              <c:f>Analysis!$F$364:$J$364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336C-4E5B-813B-567CE45820F3}"/>
            </c:ext>
          </c:extLst>
        </c:ser>
        <c:dLbls>
          <c:showLegendKey val="0"/>
          <c:showVal val="1"/>
          <c:showCatName val="0"/>
          <c:showSerName val="0"/>
          <c:showPercent val="0"/>
          <c:showBubbleSize val="0"/>
        </c:dLbls>
        <c:gapWidth val="50"/>
        <c:axId val="54844032"/>
        <c:axId val="54858112"/>
      </c:barChart>
      <c:catAx>
        <c:axId val="54844032"/>
        <c:scaling>
          <c:orientation val="minMax"/>
        </c:scaling>
        <c:delete val="0"/>
        <c:axPos val="b"/>
        <c:numFmt formatCode="\+0.0&quot; %&quot;;\-0.0&quot; %&quot;;0.0&quot; %&quot;" sourceLinked="1"/>
        <c:majorTickMark val="none"/>
        <c:minorTickMark val="none"/>
        <c:tickLblPos val="low"/>
        <c:crossAx val="54858112"/>
        <c:crosses val="autoZero"/>
        <c:auto val="1"/>
        <c:lblAlgn val="ctr"/>
        <c:lblOffset val="100"/>
        <c:noMultiLvlLbl val="0"/>
      </c:catAx>
      <c:valAx>
        <c:axId val="54858112"/>
        <c:scaling>
          <c:orientation val="minMax"/>
        </c:scaling>
        <c:delete val="0"/>
        <c:axPos val="l"/>
        <c:majorGridlines>
          <c:spPr>
            <a:ln>
              <a:solidFill>
                <a:srgbClr val="7A9DB9"/>
              </a:solidFill>
            </a:ln>
          </c:spPr>
        </c:majorGridlines>
        <c:numFmt formatCode="#,##0" sourceLinked="1"/>
        <c:majorTickMark val="out"/>
        <c:minorTickMark val="none"/>
        <c:tickLblPos val="nextTo"/>
        <c:crossAx val="54844032"/>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Analysis!$D$410</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Analysis!$F$408:$J$408</c:f>
              <c:numCache>
                <c:formatCode>\+0.0" %";\-0.0" %";0.0" %"</c:formatCode>
                <c:ptCount val="5"/>
                <c:pt idx="0">
                  <c:v>-20</c:v>
                </c:pt>
                <c:pt idx="1">
                  <c:v>-10</c:v>
                </c:pt>
                <c:pt idx="2">
                  <c:v>0</c:v>
                </c:pt>
                <c:pt idx="3">
                  <c:v>10</c:v>
                </c:pt>
                <c:pt idx="4">
                  <c:v>20</c:v>
                </c:pt>
              </c:numCache>
            </c:numRef>
          </c:cat>
          <c:val>
            <c:numRef>
              <c:f>Analysis!$F$410:$J$410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EE55-48DC-86EE-AAF593B4B661}"/>
            </c:ext>
          </c:extLst>
        </c:ser>
        <c:dLbls>
          <c:showLegendKey val="0"/>
          <c:showVal val="1"/>
          <c:showCatName val="0"/>
          <c:showSerName val="0"/>
          <c:showPercent val="0"/>
          <c:showBubbleSize val="0"/>
        </c:dLbls>
        <c:gapWidth val="50"/>
        <c:axId val="54886784"/>
        <c:axId val="54888320"/>
      </c:barChart>
      <c:catAx>
        <c:axId val="54886784"/>
        <c:scaling>
          <c:orientation val="minMax"/>
        </c:scaling>
        <c:delete val="0"/>
        <c:axPos val="b"/>
        <c:numFmt formatCode="\+0.0&quot; %&quot;;\-0.0&quot; %&quot;;0.0&quot; %&quot;" sourceLinked="1"/>
        <c:majorTickMark val="none"/>
        <c:minorTickMark val="none"/>
        <c:tickLblPos val="low"/>
        <c:crossAx val="54888320"/>
        <c:crosses val="autoZero"/>
        <c:auto val="1"/>
        <c:lblAlgn val="ctr"/>
        <c:lblOffset val="100"/>
        <c:noMultiLvlLbl val="0"/>
      </c:catAx>
      <c:valAx>
        <c:axId val="54888320"/>
        <c:scaling>
          <c:orientation val="minMax"/>
        </c:scaling>
        <c:delete val="0"/>
        <c:axPos val="l"/>
        <c:majorGridlines>
          <c:spPr>
            <a:ln>
              <a:solidFill>
                <a:srgbClr val="7A9DB9"/>
              </a:solidFill>
            </a:ln>
          </c:spPr>
        </c:majorGridlines>
        <c:numFmt formatCode="#,##0" sourceLinked="1"/>
        <c:majorTickMark val="out"/>
        <c:minorTickMark val="none"/>
        <c:tickLblPos val="nextTo"/>
        <c:crossAx val="5488678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manualLayout>
          <c:layoutTarget val="inner"/>
          <c:xMode val="edge"/>
          <c:yMode val="edge"/>
          <c:x val="4.3909061130391884E-2"/>
          <c:y val="0.15847187563484869"/>
          <c:w val="0.93292084934883701"/>
          <c:h val="0.72094250203912702"/>
        </c:manualLayout>
      </c:layout>
      <c:barChart>
        <c:barDir val="col"/>
        <c:grouping val="clustered"/>
        <c:varyColors val="1"/>
        <c:ser>
          <c:idx val="0"/>
          <c:order val="0"/>
          <c:tx>
            <c:strRef>
              <c:f>Analysis!$D$456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Analysis!$F$454:$J$454</c:f>
              <c:numCache>
                <c:formatCode>\+0.0" %";\-0.0" %";0.0" %"</c:formatCode>
                <c:ptCount val="5"/>
                <c:pt idx="0">
                  <c:v>-20</c:v>
                </c:pt>
                <c:pt idx="1">
                  <c:v>-10</c:v>
                </c:pt>
                <c:pt idx="2">
                  <c:v>0</c:v>
                </c:pt>
                <c:pt idx="3">
                  <c:v>10</c:v>
                </c:pt>
                <c:pt idx="4">
                  <c:v>20</c:v>
                </c:pt>
              </c:numCache>
            </c:numRef>
          </c:cat>
          <c:val>
            <c:numRef>
              <c:f>Analysis!$F$456:$J$456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EF76-412D-AE70-EF2AB6590BF8}"/>
            </c:ext>
          </c:extLst>
        </c:ser>
        <c:dLbls>
          <c:showLegendKey val="0"/>
          <c:showVal val="1"/>
          <c:showCatName val="0"/>
          <c:showSerName val="0"/>
          <c:showPercent val="0"/>
          <c:showBubbleSize val="0"/>
        </c:dLbls>
        <c:gapWidth val="50"/>
        <c:axId val="55052160"/>
        <c:axId val="55053696"/>
      </c:barChart>
      <c:catAx>
        <c:axId val="55052160"/>
        <c:scaling>
          <c:orientation val="minMax"/>
        </c:scaling>
        <c:delete val="0"/>
        <c:axPos val="b"/>
        <c:numFmt formatCode="\+0.0&quot; %&quot;;\-0.0&quot; %&quot;;0.0&quot; %&quot;" sourceLinked="1"/>
        <c:majorTickMark val="none"/>
        <c:minorTickMark val="none"/>
        <c:tickLblPos val="low"/>
        <c:crossAx val="55053696"/>
        <c:crosses val="autoZero"/>
        <c:auto val="1"/>
        <c:lblAlgn val="ctr"/>
        <c:lblOffset val="100"/>
        <c:noMultiLvlLbl val="0"/>
      </c:catAx>
      <c:valAx>
        <c:axId val="55053696"/>
        <c:scaling>
          <c:orientation val="minMax"/>
        </c:scaling>
        <c:delete val="0"/>
        <c:axPos val="l"/>
        <c:majorGridlines>
          <c:spPr>
            <a:ln>
              <a:solidFill>
                <a:srgbClr val="7A9DB9"/>
              </a:solidFill>
            </a:ln>
          </c:spPr>
        </c:majorGridlines>
        <c:numFmt formatCode="#,##0" sourceLinked="1"/>
        <c:majorTickMark val="out"/>
        <c:minorTickMark val="none"/>
        <c:tickLblPos val="nextTo"/>
        <c:crossAx val="5505216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ChartData01!$B$5</c:f>
          <c:strCache>
            <c:ptCount val="1"/>
            <c:pt idx="0">
              <c:v>Cash flow</c:v>
            </c:pt>
          </c:strCache>
        </c:strRef>
      </c:tx>
      <c:overlay val="0"/>
    </c:title>
    <c:autoTitleDeleted val="0"/>
    <c:plotArea>
      <c:layout/>
      <c:barChart>
        <c:barDir val="col"/>
        <c:grouping val="clustered"/>
        <c:varyColors val="0"/>
        <c:ser>
          <c:idx val="0"/>
          <c:order val="0"/>
          <c:tx>
            <c:strRef>
              <c:f>ChartData01!$E$10</c:f>
              <c:strCache>
                <c:ptCount val="1"/>
                <c:pt idx="0">
                  <c:v>Free cash flow (FCF)</c:v>
                </c:pt>
              </c:strCache>
            </c:strRef>
          </c:tx>
          <c:invertIfNegative val="0"/>
          <c:cat>
            <c:strRef>
              <c:f>ChartData01!$F$9:$I$9</c:f>
              <c:strCache>
                <c:ptCount val="4"/>
                <c:pt idx="0">
                  <c:v>12/2019</c:v>
                </c:pt>
                <c:pt idx="1">
                  <c:v>12/2020</c:v>
                </c:pt>
                <c:pt idx="2">
                  <c:v>12/2021</c:v>
                </c:pt>
                <c:pt idx="3">
                  <c:v>12/2022</c:v>
                </c:pt>
              </c:strCache>
            </c:strRef>
          </c:cat>
          <c:val>
            <c:numRef>
              <c:f>ChartData01!$F$10:$I$10</c:f>
              <c:numCache>
                <c:formatCode>#,##0</c:formatCode>
                <c:ptCount val="4"/>
                <c:pt idx="0">
                  <c:v>-3938537.4619388129</c:v>
                </c:pt>
                <c:pt idx="1">
                  <c:v>1305902.8051232728</c:v>
                </c:pt>
                <c:pt idx="2">
                  <c:v>1734438.0116514824</c:v>
                </c:pt>
                <c:pt idx="3">
                  <c:v>2594656.1580230654</c:v>
                </c:pt>
              </c:numCache>
            </c:numRef>
          </c:val>
          <c:extLst>
            <c:ext xmlns:c16="http://schemas.microsoft.com/office/drawing/2014/chart" uri="{C3380CC4-5D6E-409C-BE32-E72D297353CC}">
              <c16:uniqueId val="{00000000-B0FE-467D-9105-5A61F2423C88}"/>
            </c:ext>
          </c:extLst>
        </c:ser>
        <c:dLbls>
          <c:showLegendKey val="0"/>
          <c:showVal val="0"/>
          <c:showCatName val="0"/>
          <c:showSerName val="0"/>
          <c:showPercent val="0"/>
          <c:showBubbleSize val="0"/>
        </c:dLbls>
        <c:gapWidth val="100"/>
        <c:axId val="55470720"/>
        <c:axId val="55476992"/>
      </c:barChart>
      <c:lineChart>
        <c:grouping val="standard"/>
        <c:varyColors val="0"/>
        <c:ser>
          <c:idx val="1"/>
          <c:order val="1"/>
          <c:tx>
            <c:strRef>
              <c:f>ChartData01!$E$11</c:f>
              <c:strCache>
                <c:ptCount val="1"/>
                <c:pt idx="0">
                  <c:v>Cumulative discounted free cash flow</c:v>
                </c:pt>
              </c:strCache>
            </c:strRef>
          </c:tx>
          <c:marker>
            <c:symbol val="none"/>
          </c:marker>
          <c:cat>
            <c:strRef>
              <c:f>ChartData01!$F$9:$I$9</c:f>
              <c:strCache>
                <c:ptCount val="4"/>
                <c:pt idx="0">
                  <c:v>12/2019</c:v>
                </c:pt>
                <c:pt idx="1">
                  <c:v>12/2020</c:v>
                </c:pt>
                <c:pt idx="2">
                  <c:v>12/2021</c:v>
                </c:pt>
                <c:pt idx="3">
                  <c:v>12/2022</c:v>
                </c:pt>
              </c:strCache>
            </c:strRef>
          </c:cat>
          <c:val>
            <c:numRef>
              <c:f>ChartData01!$F$11:$I$11</c:f>
              <c:numCache>
                <c:formatCode>#,##0</c:formatCode>
                <c:ptCount val="4"/>
                <c:pt idx="0">
                  <c:v>-3924249.8769574608</c:v>
                </c:pt>
                <c:pt idx="1">
                  <c:v>-2664739.507511653</c:v>
                </c:pt>
                <c:pt idx="2">
                  <c:v>-1036689.1089818352</c:v>
                </c:pt>
                <c:pt idx="3">
                  <c:v>1333631.2410902111</c:v>
                </c:pt>
              </c:numCache>
            </c:numRef>
          </c:val>
          <c:smooth val="0"/>
          <c:extLst>
            <c:ext xmlns:c16="http://schemas.microsoft.com/office/drawing/2014/chart" uri="{C3380CC4-5D6E-409C-BE32-E72D297353CC}">
              <c16:uniqueId val="{00000001-B0FE-467D-9105-5A61F2423C88}"/>
            </c:ext>
          </c:extLst>
        </c:ser>
        <c:ser>
          <c:idx val="2"/>
          <c:order val="2"/>
          <c:tx>
            <c:strRef>
              <c:f>ChartData01!$E$12</c:f>
              <c:strCache>
                <c:ptCount val="1"/>
                <c:pt idx="0">
                  <c:v>Cumulative total cash flow</c:v>
                </c:pt>
              </c:strCache>
            </c:strRef>
          </c:tx>
          <c:marker>
            <c:symbol val="none"/>
          </c:marker>
          <c:cat>
            <c:strRef>
              <c:f>ChartData01!$F$9:$I$9</c:f>
              <c:strCache>
                <c:ptCount val="4"/>
                <c:pt idx="0">
                  <c:v>12/2019</c:v>
                </c:pt>
                <c:pt idx="1">
                  <c:v>12/2020</c:v>
                </c:pt>
                <c:pt idx="2">
                  <c:v>12/2021</c:v>
                </c:pt>
                <c:pt idx="3">
                  <c:v>12/2022</c:v>
                </c:pt>
              </c:strCache>
            </c:strRef>
          </c:cat>
          <c:val>
            <c:numRef>
              <c:f>ChartData01!$F$12:$I$12</c:f>
              <c:numCache>
                <c:formatCode>#,##0</c:formatCode>
                <c:ptCount val="4"/>
                <c:pt idx="0">
                  <c:v>-3938537.4619388129</c:v>
                </c:pt>
                <c:pt idx="1">
                  <c:v>-2632634.65681554</c:v>
                </c:pt>
                <c:pt idx="2">
                  <c:v>-898196.64516405761</c:v>
                </c:pt>
                <c:pt idx="3">
                  <c:v>1696459.5128590078</c:v>
                </c:pt>
              </c:numCache>
            </c:numRef>
          </c:val>
          <c:smooth val="0"/>
          <c:extLst>
            <c:ext xmlns:c16="http://schemas.microsoft.com/office/drawing/2014/chart" uri="{C3380CC4-5D6E-409C-BE32-E72D297353CC}">
              <c16:uniqueId val="{00000002-B0FE-467D-9105-5A61F2423C88}"/>
            </c:ext>
          </c:extLst>
        </c:ser>
        <c:dLbls>
          <c:showLegendKey val="0"/>
          <c:showVal val="0"/>
          <c:showCatName val="0"/>
          <c:showSerName val="0"/>
          <c:showPercent val="0"/>
          <c:showBubbleSize val="0"/>
        </c:dLbls>
        <c:marker val="1"/>
        <c:smooth val="0"/>
        <c:axId val="55470720"/>
        <c:axId val="55476992"/>
      </c:lineChart>
      <c:catAx>
        <c:axId val="55470720"/>
        <c:scaling>
          <c:orientation val="minMax"/>
        </c:scaling>
        <c:delete val="0"/>
        <c:axPos val="b"/>
        <c:title>
          <c:tx>
            <c:rich>
              <a:bodyPr/>
              <a:lstStyle/>
              <a:p>
                <a:pPr>
                  <a:defRPr/>
                </a:pPr>
                <a:endParaRPr lang="fi-FI"/>
              </a:p>
            </c:rich>
          </c:tx>
          <c:overlay val="0"/>
        </c:title>
        <c:numFmt formatCode="General" sourceLinked="1"/>
        <c:majorTickMark val="none"/>
        <c:minorTickMark val="none"/>
        <c:tickLblPos val="low"/>
        <c:crossAx val="55476992"/>
        <c:crosses val="autoZero"/>
        <c:auto val="1"/>
        <c:lblAlgn val="ctr"/>
        <c:lblOffset val="100"/>
        <c:noMultiLvlLbl val="0"/>
      </c:catAx>
      <c:valAx>
        <c:axId val="55476992"/>
        <c:scaling>
          <c:orientation val="minMax"/>
        </c:scaling>
        <c:delete val="0"/>
        <c:axPos val="l"/>
        <c:majorGridlines/>
        <c:title>
          <c:tx>
            <c:strRef>
              <c:f>ChartData01!$B$6</c:f>
              <c:strCache>
                <c:ptCount val="1"/>
                <c:pt idx="0">
                  <c:v> Euro</c:v>
                </c:pt>
              </c:strCache>
            </c:strRef>
          </c:tx>
          <c:overlay val="0"/>
        </c:title>
        <c:numFmt formatCode="#,##0" sourceLinked="1"/>
        <c:majorTickMark val="out"/>
        <c:minorTickMark val="none"/>
        <c:tickLblPos val="nextTo"/>
        <c:crossAx val="55470720"/>
        <c:crosses val="autoZero"/>
        <c:crossBetween val="between"/>
      </c:valAx>
    </c:plotArea>
    <c:legend>
      <c:legendPos val="r"/>
      <c:overlay val="0"/>
    </c:legend>
    <c:plotVisOnly val="1"/>
    <c:dispBlanksAs val="gap"/>
    <c:showDLblsOverMax val="0"/>
  </c:char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AnalyzeData!$B$5</c:f>
          <c:strCache>
            <c:ptCount val="1"/>
            <c:pt idx="0">
              <c:v>Spider</c:v>
            </c:pt>
          </c:strCache>
        </c:strRef>
      </c:tx>
      <c:overlay val="0"/>
    </c:title>
    <c:autoTitleDeleted val="0"/>
    <c:plotArea>
      <c:layout/>
      <c:lineChart>
        <c:grouping val="standard"/>
        <c:varyColors val="0"/>
        <c:ser>
          <c:idx val="0"/>
          <c:order val="0"/>
          <c:tx>
            <c:strRef>
              <c:f>AnalyzeData!$C$7</c:f>
              <c:strCache>
                <c:ptCount val="1"/>
                <c:pt idx="0">
                  <c:v>Investments</c:v>
                </c:pt>
              </c:strCache>
            </c:strRef>
          </c:tx>
          <c:spPr>
            <a:ln w="25400">
              <a:solidFill>
                <a:srgbClr val="4A7EBB"/>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AnalyzeData!$D$7:$J$7</c:f>
              <c:numCache>
                <c:formatCode>#,##0</c:formatCode>
                <c:ptCount val="7"/>
                <c:pt idx="0">
                  <c:v>12960261.367723214</c:v>
                </c:pt>
                <c:pt idx="1">
                  <c:v>12756402.996948654</c:v>
                </c:pt>
                <c:pt idx="2">
                  <c:v>12552544.626174092</c:v>
                </c:pt>
                <c:pt idx="3">
                  <c:v>12348686.255399536</c:v>
                </c:pt>
                <c:pt idx="4">
                  <c:v>12144827.884624975</c:v>
                </c:pt>
                <c:pt idx="5">
                  <c:v>11940969.513850415</c:v>
                </c:pt>
                <c:pt idx="6">
                  <c:v>11737111.143075857</c:v>
                </c:pt>
              </c:numCache>
            </c:numRef>
          </c:val>
          <c:smooth val="0"/>
          <c:extLst>
            <c:ext xmlns:c16="http://schemas.microsoft.com/office/drawing/2014/chart" uri="{C3380CC4-5D6E-409C-BE32-E72D297353CC}">
              <c16:uniqueId val="{00000000-9127-4CB8-A50C-73E247514A3E}"/>
            </c:ext>
          </c:extLst>
        </c:ser>
        <c:ser>
          <c:idx val="1"/>
          <c:order val="1"/>
          <c:tx>
            <c:strRef>
              <c:f>AnalyzeData!$C$8</c:f>
              <c:strCache>
                <c:ptCount val="1"/>
                <c:pt idx="0">
                  <c:v>Price / meter</c:v>
                </c:pt>
              </c:strCache>
            </c:strRef>
          </c:tx>
          <c:spPr>
            <a:ln w="25400">
              <a:solidFill>
                <a:srgbClr val="BE4B48"/>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AnalyzeData!$D$8:$J$8</c:f>
              <c:numCache>
                <c:formatCode>#,##0</c:formatCode>
                <c:ptCount val="7"/>
                <c:pt idx="0">
                  <c:v>5473243.4109256677</c:v>
                </c:pt>
                <c:pt idx="1">
                  <c:v>7776772.2677708659</c:v>
                </c:pt>
                <c:pt idx="2">
                  <c:v>10062729.261585202</c:v>
                </c:pt>
                <c:pt idx="3">
                  <c:v>12348686.255399536</c:v>
                </c:pt>
                <c:pt idx="4">
                  <c:v>14634643.24921388</c:v>
                </c:pt>
                <c:pt idx="5">
                  <c:v>16920600.243028209</c:v>
                </c:pt>
                <c:pt idx="6">
                  <c:v>19206557.236842543</c:v>
                </c:pt>
              </c:numCache>
            </c:numRef>
          </c:val>
          <c:smooth val="0"/>
          <c:extLst>
            <c:ext xmlns:c16="http://schemas.microsoft.com/office/drawing/2014/chart" uri="{C3380CC4-5D6E-409C-BE32-E72D297353CC}">
              <c16:uniqueId val="{00000001-9127-4CB8-A50C-73E247514A3E}"/>
            </c:ext>
          </c:extLst>
        </c:ser>
        <c:ser>
          <c:idx val="2"/>
          <c:order val="2"/>
          <c:tx>
            <c:strRef>
              <c:f>AnalyzeData!$C$9</c:f>
              <c:strCache>
                <c:ptCount val="1"/>
                <c:pt idx="0">
                  <c:v>Raw materials and consumables</c:v>
                </c:pt>
              </c:strCache>
            </c:strRef>
          </c:tx>
          <c:spPr>
            <a:ln w="25400">
              <a:solidFill>
                <a:srgbClr val="98B954"/>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AnalyzeData!$D$9:$J$9</c:f>
              <c:numCache>
                <c:formatCode>#,##0</c:formatCode>
                <c:ptCount val="7"/>
                <c:pt idx="0">
                  <c:v>28576984.19261571</c:v>
                </c:pt>
                <c:pt idx="1">
                  <c:v>23167551.546876982</c:v>
                </c:pt>
                <c:pt idx="2">
                  <c:v>17758118.901138261</c:v>
                </c:pt>
                <c:pt idx="3">
                  <c:v>12348686.255399536</c:v>
                </c:pt>
                <c:pt idx="4">
                  <c:v>6939253.6096608099</c:v>
                </c:pt>
                <c:pt idx="5">
                  <c:v>1360133.2070968174</c:v>
                </c:pt>
                <c:pt idx="6">
                  <c:v>-4889568.8617221527</c:v>
                </c:pt>
              </c:numCache>
            </c:numRef>
          </c:val>
          <c:smooth val="0"/>
          <c:extLst>
            <c:ext xmlns:c16="http://schemas.microsoft.com/office/drawing/2014/chart" uri="{C3380CC4-5D6E-409C-BE32-E72D297353CC}">
              <c16:uniqueId val="{00000002-9127-4CB8-A50C-73E247514A3E}"/>
            </c:ext>
          </c:extLst>
        </c:ser>
        <c:ser>
          <c:idx val="3"/>
          <c:order val="3"/>
          <c:tx>
            <c:strRef>
              <c:f>AnalyzeData!$C$10</c:f>
              <c:strCache>
                <c:ptCount val="1"/>
                <c:pt idx="0">
                  <c:v>Other fixed costs</c:v>
                </c:pt>
              </c:strCache>
            </c:strRef>
          </c:tx>
          <c:spPr>
            <a:ln w="25400">
              <a:solidFill>
                <a:srgbClr val="7D60A0"/>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AnalyzeData!$D$10:$J$10</c:f>
              <c:numCache>
                <c:formatCode>#,##0</c:formatCode>
                <c:ptCount val="7"/>
                <c:pt idx="0">
                  <c:v>14890376.247899009</c:v>
                </c:pt>
                <c:pt idx="1">
                  <c:v>14043146.250399185</c:v>
                </c:pt>
                <c:pt idx="2">
                  <c:v>13195916.25289936</c:v>
                </c:pt>
                <c:pt idx="3">
                  <c:v>12348686.255399536</c:v>
                </c:pt>
                <c:pt idx="4">
                  <c:v>11501456.257899713</c:v>
                </c:pt>
                <c:pt idx="5">
                  <c:v>10654226.260399889</c:v>
                </c:pt>
                <c:pt idx="6">
                  <c:v>9806996.2629000656</c:v>
                </c:pt>
              </c:numCache>
            </c:numRef>
          </c:val>
          <c:smooth val="0"/>
          <c:extLst>
            <c:ext xmlns:c16="http://schemas.microsoft.com/office/drawing/2014/chart" uri="{C3380CC4-5D6E-409C-BE32-E72D297353CC}">
              <c16:uniqueId val="{00000003-9127-4CB8-A50C-73E247514A3E}"/>
            </c:ext>
          </c:extLst>
        </c:ser>
        <c:dLbls>
          <c:showLegendKey val="0"/>
          <c:showVal val="0"/>
          <c:showCatName val="0"/>
          <c:showSerName val="0"/>
          <c:showPercent val="0"/>
          <c:showBubbleSize val="0"/>
        </c:dLbls>
        <c:marker val="1"/>
        <c:smooth val="0"/>
        <c:axId val="55673600"/>
        <c:axId val="55675520"/>
      </c:lineChart>
      <c:catAx>
        <c:axId val="55673600"/>
        <c:scaling>
          <c:orientation val="minMax"/>
        </c:scaling>
        <c:delete val="0"/>
        <c:axPos val="b"/>
        <c:majorGridlines>
          <c:spPr>
            <a:ln w="3175">
              <a:solidFill>
                <a:srgbClr val="969696"/>
              </a:solidFill>
              <a:prstDash val="sysDash"/>
            </a:ln>
          </c:spPr>
        </c:majorGridlines>
        <c:title>
          <c:tx>
            <c:strRef>
              <c:f>AnalyzeData!$L$1</c:f>
              <c:strCache>
                <c:ptCount val="1"/>
                <c:pt idx="0">
                  <c:v>Change %</c:v>
                </c:pt>
              </c:strCache>
            </c:strRef>
          </c:tx>
          <c:overlay val="0"/>
        </c:title>
        <c:numFmt formatCode="\+0%;\-0%" sourceLinked="1"/>
        <c:majorTickMark val="out"/>
        <c:minorTickMark val="none"/>
        <c:tickLblPos val="low"/>
        <c:crossAx val="55675520"/>
        <c:crosses val="autoZero"/>
        <c:auto val="1"/>
        <c:lblAlgn val="ctr"/>
        <c:lblOffset val="100"/>
        <c:noMultiLvlLbl val="0"/>
      </c:catAx>
      <c:valAx>
        <c:axId val="55675520"/>
        <c:scaling>
          <c:orientation val="minMax"/>
        </c:scaling>
        <c:delete val="0"/>
        <c:axPos val="l"/>
        <c:majorGridlines>
          <c:spPr>
            <a:ln w="3175">
              <a:solidFill>
                <a:srgbClr val="969696"/>
              </a:solidFill>
              <a:prstDash val="sysDash"/>
            </a:ln>
          </c:spPr>
        </c:majorGridlines>
        <c:title>
          <c:tx>
            <c:strRef>
              <c:f>AnalyzeData!$B$6</c:f>
              <c:strCache>
                <c:ptCount val="1"/>
                <c:pt idx="0">
                  <c:v>Net Present Value (NPV),  Euro</c:v>
                </c:pt>
              </c:strCache>
            </c:strRef>
          </c:tx>
          <c:overlay val="0"/>
          <c:txPr>
            <a:bodyPr rot="-5400000" vert="horz"/>
            <a:lstStyle/>
            <a:p>
              <a:pPr>
                <a:defRPr/>
              </a:pPr>
              <a:endParaRPr lang="en-US"/>
            </a:p>
          </c:txPr>
        </c:title>
        <c:numFmt formatCode="#,##0" sourceLinked="0"/>
        <c:majorTickMark val="out"/>
        <c:minorTickMark val="none"/>
        <c:tickLblPos val="nextTo"/>
        <c:crossAx val="55673600"/>
        <c:crosses val="autoZero"/>
        <c:crossBetween val="midCat"/>
      </c:valAx>
    </c:plotArea>
    <c:legend>
      <c:legendPos val="r"/>
      <c:overlay val="0"/>
    </c:legend>
    <c:plotVisOnly val="1"/>
    <c:dispBlanksAs val="gap"/>
    <c:showDLblsOverMax val="0"/>
  </c:char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AnalyzeData!$B$13</c:f>
          <c:strCache>
            <c:ptCount val="1"/>
            <c:pt idx="0">
              <c:v>Tornado</c:v>
            </c:pt>
          </c:strCache>
        </c:strRef>
      </c:tx>
      <c:overlay val="0"/>
    </c:title>
    <c:autoTitleDeleted val="0"/>
    <c:plotArea>
      <c:layout/>
      <c:barChart>
        <c:barDir val="bar"/>
        <c:grouping val="stacked"/>
        <c:varyColors val="0"/>
        <c:ser>
          <c:idx val="0"/>
          <c:order val="0"/>
          <c:tx>
            <c:strRef>
              <c:f>AnalyzeData!$M$14</c:f>
              <c:strCache>
                <c:ptCount val="1"/>
                <c:pt idx="0">
                  <c:v>-10%</c:v>
                </c:pt>
              </c:strCache>
            </c:strRef>
          </c:tx>
          <c:invertIfNegative val="0"/>
          <c:cat>
            <c:strRef>
              <c:f>AnalyzeData!$L$15:$L$18</c:f>
              <c:strCache>
                <c:ptCount val="4"/>
                <c:pt idx="0">
                  <c:v>Investments</c:v>
                </c:pt>
                <c:pt idx="1">
                  <c:v>Other fixed costs</c:v>
                </c:pt>
                <c:pt idx="2">
                  <c:v>Price / meter</c:v>
                </c:pt>
                <c:pt idx="3">
                  <c:v>Other variable costs</c:v>
                </c:pt>
              </c:strCache>
            </c:strRef>
          </c:cat>
          <c:val>
            <c:numRef>
              <c:f>AnalyzeData!$M$15:$M$18</c:f>
              <c:numCache>
                <c:formatCode>#,##0</c:formatCode>
                <c:ptCount val="4"/>
                <c:pt idx="0">
                  <c:v>203858.37077455595</c:v>
                </c:pt>
                <c:pt idx="1">
                  <c:v>847229.99749982357</c:v>
                </c:pt>
                <c:pt idx="2">
                  <c:v>-2285956.9938143343</c:v>
                </c:pt>
                <c:pt idx="3">
                  <c:v>5409432.6457387246</c:v>
                </c:pt>
              </c:numCache>
            </c:numRef>
          </c:val>
          <c:extLst>
            <c:ext xmlns:c16="http://schemas.microsoft.com/office/drawing/2014/chart" uri="{C3380CC4-5D6E-409C-BE32-E72D297353CC}">
              <c16:uniqueId val="{00000000-AF40-4FE5-BA9E-863990E62B3D}"/>
            </c:ext>
          </c:extLst>
        </c:ser>
        <c:ser>
          <c:idx val="1"/>
          <c:order val="1"/>
          <c:tx>
            <c:strRef>
              <c:f>AnalyzeData!$N$14</c:f>
              <c:strCache>
                <c:ptCount val="1"/>
                <c:pt idx="0">
                  <c:v>+10%</c:v>
                </c:pt>
              </c:strCache>
            </c:strRef>
          </c:tx>
          <c:invertIfNegative val="0"/>
          <c:cat>
            <c:strRef>
              <c:f>AnalyzeData!$L$15:$L$18</c:f>
              <c:strCache>
                <c:ptCount val="4"/>
                <c:pt idx="0">
                  <c:v>Investments</c:v>
                </c:pt>
                <c:pt idx="1">
                  <c:v>Other fixed costs</c:v>
                </c:pt>
                <c:pt idx="2">
                  <c:v>Price / meter</c:v>
                </c:pt>
                <c:pt idx="3">
                  <c:v>Other variable costs</c:v>
                </c:pt>
              </c:strCache>
            </c:strRef>
          </c:cat>
          <c:val>
            <c:numRef>
              <c:f>AnalyzeData!$N$15:$N$18</c:f>
              <c:numCache>
                <c:formatCode>#,##0</c:formatCode>
                <c:ptCount val="4"/>
                <c:pt idx="0">
                  <c:v>-203858.37077456154</c:v>
                </c:pt>
                <c:pt idx="1">
                  <c:v>-847229.99749982357</c:v>
                </c:pt>
                <c:pt idx="2">
                  <c:v>2285956.9938143436</c:v>
                </c:pt>
                <c:pt idx="3">
                  <c:v>-5409432.6457387265</c:v>
                </c:pt>
              </c:numCache>
            </c:numRef>
          </c:val>
          <c:extLst>
            <c:ext xmlns:c16="http://schemas.microsoft.com/office/drawing/2014/chart" uri="{C3380CC4-5D6E-409C-BE32-E72D297353CC}">
              <c16:uniqueId val="{00000001-AF40-4FE5-BA9E-863990E62B3D}"/>
            </c:ext>
          </c:extLst>
        </c:ser>
        <c:dLbls>
          <c:showLegendKey val="0"/>
          <c:showVal val="0"/>
          <c:showCatName val="0"/>
          <c:showSerName val="0"/>
          <c:showPercent val="0"/>
          <c:showBubbleSize val="0"/>
        </c:dLbls>
        <c:gapWidth val="150"/>
        <c:overlap val="100"/>
        <c:axId val="55695616"/>
        <c:axId val="55705600"/>
      </c:barChart>
      <c:catAx>
        <c:axId val="55695616"/>
        <c:scaling>
          <c:orientation val="minMax"/>
        </c:scaling>
        <c:delete val="0"/>
        <c:axPos val="l"/>
        <c:numFmt formatCode="General" sourceLinked="0"/>
        <c:majorTickMark val="none"/>
        <c:minorTickMark val="none"/>
        <c:tickLblPos val="low"/>
        <c:crossAx val="55705600"/>
        <c:crosses val="autoZero"/>
        <c:auto val="1"/>
        <c:lblAlgn val="ctr"/>
        <c:lblOffset val="100"/>
        <c:noMultiLvlLbl val="0"/>
      </c:catAx>
      <c:valAx>
        <c:axId val="55705600"/>
        <c:scaling>
          <c:orientation val="minMax"/>
        </c:scaling>
        <c:delete val="0"/>
        <c:axPos val="b"/>
        <c:title>
          <c:tx>
            <c:strRef>
              <c:f>AnalyzeData!$B$14</c:f>
              <c:strCache>
                <c:ptCount val="1"/>
                <c:pt idx="0">
                  <c:v>Net Present Value (NPV),  Euro, Change %</c:v>
                </c:pt>
              </c:strCache>
            </c:strRef>
          </c:tx>
          <c:overlay val="0"/>
        </c:title>
        <c:numFmt formatCode="#,##0" sourceLinked="1"/>
        <c:majorTickMark val="out"/>
        <c:minorTickMark val="none"/>
        <c:tickLblPos val="nextTo"/>
        <c:crossAx val="55695616"/>
        <c:crosses val="autoZero"/>
        <c:crossBetween val="between"/>
      </c:valAx>
      <c:spPr>
        <a:solidFill>
          <a:srgbClr val="FFFFFF"/>
        </a:solidFill>
        <a:ln w="25400">
          <a:noFill/>
        </a:ln>
      </c:spPr>
    </c:plotArea>
    <c:legend>
      <c:legendPos val="r"/>
      <c:overlay val="0"/>
      <c:spPr>
        <a:ln w="25400">
          <a:noFill/>
        </a:ln>
      </c:spPr>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Analysis!$D$9</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Analysis!$F$1:$J$1</c:f>
              <c:numCache>
                <c:formatCode>0.00" %"</c:formatCode>
                <c:ptCount val="5"/>
                <c:pt idx="0">
                  <c:v>2.2000000000000002</c:v>
                </c:pt>
                <c:pt idx="1">
                  <c:v>2.4750000000000001</c:v>
                </c:pt>
                <c:pt idx="2">
                  <c:v>2.75</c:v>
                </c:pt>
                <c:pt idx="3">
                  <c:v>3.0249999999999999</c:v>
                </c:pt>
                <c:pt idx="4">
                  <c:v>3.3</c:v>
                </c:pt>
              </c:numCache>
            </c:numRef>
          </c:cat>
          <c:val>
            <c:numRef>
              <c:f>Analysis!$F$9:$J$9</c:f>
              <c:numCache>
                <c:formatCode>#,##0</c:formatCode>
                <c:ptCount val="5"/>
                <c:pt idx="0">
                  <c:v>12720926.022828903</c:v>
                </c:pt>
                <c:pt idx="1">
                  <c:v>12533386.900070177</c:v>
                </c:pt>
                <c:pt idx="2">
                  <c:v>12348686.255399536</c:v>
                </c:pt>
                <c:pt idx="3">
                  <c:v>12166772.503094522</c:v>
                </c:pt>
                <c:pt idx="4">
                  <c:v>11987595.142939743</c:v>
                </c:pt>
              </c:numCache>
            </c:numRef>
          </c:val>
          <c:extLst>
            <c:ext xmlns:c16="http://schemas.microsoft.com/office/drawing/2014/chart" uri="{C3380CC4-5D6E-409C-BE32-E72D297353CC}">
              <c16:uniqueId val="{00000000-3884-493F-AC16-AD67F5854C43}"/>
            </c:ext>
          </c:extLst>
        </c:ser>
        <c:dLbls>
          <c:showLegendKey val="0"/>
          <c:showVal val="1"/>
          <c:showCatName val="0"/>
          <c:showSerName val="0"/>
          <c:showPercent val="0"/>
          <c:showBubbleSize val="0"/>
        </c:dLbls>
        <c:gapWidth val="50"/>
        <c:axId val="51894144"/>
        <c:axId val="51895680"/>
      </c:barChart>
      <c:catAx>
        <c:axId val="51894144"/>
        <c:scaling>
          <c:orientation val="minMax"/>
        </c:scaling>
        <c:delete val="0"/>
        <c:axPos val="b"/>
        <c:numFmt formatCode="0.00&quot; %&quot;" sourceLinked="1"/>
        <c:majorTickMark val="none"/>
        <c:minorTickMark val="none"/>
        <c:tickLblPos val="low"/>
        <c:crossAx val="51895680"/>
        <c:crosses val="autoZero"/>
        <c:auto val="1"/>
        <c:lblAlgn val="ctr"/>
        <c:lblOffset val="100"/>
        <c:noMultiLvlLbl val="0"/>
      </c:catAx>
      <c:valAx>
        <c:axId val="51895680"/>
        <c:scaling>
          <c:orientation val="minMax"/>
        </c:scaling>
        <c:delete val="0"/>
        <c:axPos val="l"/>
        <c:majorGridlines>
          <c:spPr>
            <a:ln>
              <a:solidFill>
                <a:srgbClr val="7A9DB9"/>
              </a:solidFill>
            </a:ln>
          </c:spPr>
        </c:majorGridlines>
        <c:numFmt formatCode="#,##0" sourceLinked="1"/>
        <c:majorTickMark val="out"/>
        <c:minorTickMark val="none"/>
        <c:tickLblPos val="nextTo"/>
        <c:crossAx val="5189414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Analysis!$D$48</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Analysis!$F$46:$J$46</c:f>
              <c:numCache>
                <c:formatCode>#,##0</c:formatCode>
                <c:ptCount val="5"/>
                <c:pt idx="0">
                  <c:v>-2268000</c:v>
                </c:pt>
                <c:pt idx="1">
                  <c:v>-2551500</c:v>
                </c:pt>
                <c:pt idx="2">
                  <c:v>-2835000</c:v>
                </c:pt>
                <c:pt idx="3">
                  <c:v>-3118500</c:v>
                </c:pt>
                <c:pt idx="4">
                  <c:v>-3402000</c:v>
                </c:pt>
              </c:numCache>
            </c:numRef>
          </c:cat>
          <c:val>
            <c:numRef>
              <c:f>Analysis!$F$48:$J$48</c:f>
              <c:numCache>
                <c:formatCode>#,##0</c:formatCode>
                <c:ptCount val="5"/>
                <c:pt idx="0">
                  <c:v>12756402.996948654</c:v>
                </c:pt>
                <c:pt idx="1">
                  <c:v>12552544.626174092</c:v>
                </c:pt>
                <c:pt idx="2">
                  <c:v>12348686.255399536</c:v>
                </c:pt>
                <c:pt idx="3">
                  <c:v>12144827.884624975</c:v>
                </c:pt>
                <c:pt idx="4">
                  <c:v>11940969.513850415</c:v>
                </c:pt>
              </c:numCache>
            </c:numRef>
          </c:val>
          <c:extLst>
            <c:ext xmlns:c16="http://schemas.microsoft.com/office/drawing/2014/chart" uri="{C3380CC4-5D6E-409C-BE32-E72D297353CC}">
              <c16:uniqueId val="{00000000-70B3-4C1A-8BDE-5B45160CD78F}"/>
            </c:ext>
          </c:extLst>
        </c:ser>
        <c:dLbls>
          <c:showLegendKey val="0"/>
          <c:showVal val="1"/>
          <c:showCatName val="0"/>
          <c:showSerName val="0"/>
          <c:showPercent val="0"/>
          <c:showBubbleSize val="0"/>
        </c:dLbls>
        <c:gapWidth val="50"/>
        <c:axId val="52383104"/>
        <c:axId val="52388992"/>
      </c:barChart>
      <c:catAx>
        <c:axId val="52383104"/>
        <c:scaling>
          <c:orientation val="minMax"/>
        </c:scaling>
        <c:delete val="0"/>
        <c:axPos val="b"/>
        <c:numFmt formatCode="#,##0" sourceLinked="1"/>
        <c:majorTickMark val="none"/>
        <c:minorTickMark val="none"/>
        <c:tickLblPos val="low"/>
        <c:crossAx val="52388992"/>
        <c:crosses val="autoZero"/>
        <c:auto val="1"/>
        <c:lblAlgn val="ctr"/>
        <c:lblOffset val="100"/>
        <c:noMultiLvlLbl val="0"/>
      </c:catAx>
      <c:valAx>
        <c:axId val="52388992"/>
        <c:scaling>
          <c:orientation val="minMax"/>
        </c:scaling>
        <c:delete val="0"/>
        <c:axPos val="l"/>
        <c:majorGridlines>
          <c:spPr>
            <a:ln>
              <a:solidFill>
                <a:srgbClr val="7A9DB9"/>
              </a:solidFill>
            </a:ln>
          </c:spPr>
        </c:majorGridlines>
        <c:numFmt formatCode="#,##0" sourceLinked="1"/>
        <c:majorTickMark val="out"/>
        <c:minorTickMark val="none"/>
        <c:tickLblPos val="nextTo"/>
        <c:crossAx val="5238310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Analysis!$D$92</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Analysis!$F$91:$J$91</c:f>
              <c:numCache>
                <c:formatCode>\+0.0" %";\-0.0" %";0.0" %"</c:formatCode>
                <c:ptCount val="5"/>
                <c:pt idx="0">
                  <c:v>-20</c:v>
                </c:pt>
                <c:pt idx="1">
                  <c:v>-10</c:v>
                </c:pt>
                <c:pt idx="2">
                  <c:v>0</c:v>
                </c:pt>
                <c:pt idx="3">
                  <c:v>10</c:v>
                </c:pt>
                <c:pt idx="4">
                  <c:v>20</c:v>
                </c:pt>
              </c:numCache>
            </c:numRef>
          </c:cat>
          <c:val>
            <c:numRef>
              <c:f>Analysis!$F$92:$J$92</c:f>
              <c:numCache>
                <c:formatCode>#,##0</c:formatCode>
                <c:ptCount val="5"/>
                <c:pt idx="0">
                  <c:v>7776772.2677708659</c:v>
                </c:pt>
                <c:pt idx="1">
                  <c:v>10062729.261585202</c:v>
                </c:pt>
                <c:pt idx="2">
                  <c:v>12348686.255399536</c:v>
                </c:pt>
                <c:pt idx="3">
                  <c:v>14634643.24921388</c:v>
                </c:pt>
                <c:pt idx="4">
                  <c:v>16920600.243028212</c:v>
                </c:pt>
              </c:numCache>
            </c:numRef>
          </c:val>
          <c:extLst>
            <c:ext xmlns:c16="http://schemas.microsoft.com/office/drawing/2014/chart" uri="{C3380CC4-5D6E-409C-BE32-E72D297353CC}">
              <c16:uniqueId val="{00000000-E143-458B-84CA-A921D49D5CEC}"/>
            </c:ext>
          </c:extLst>
        </c:ser>
        <c:dLbls>
          <c:showLegendKey val="0"/>
          <c:showVal val="1"/>
          <c:showCatName val="0"/>
          <c:showSerName val="0"/>
          <c:showPercent val="0"/>
          <c:showBubbleSize val="0"/>
        </c:dLbls>
        <c:gapWidth val="50"/>
        <c:axId val="52421760"/>
        <c:axId val="52423296"/>
      </c:barChart>
      <c:catAx>
        <c:axId val="52421760"/>
        <c:scaling>
          <c:orientation val="minMax"/>
        </c:scaling>
        <c:delete val="0"/>
        <c:axPos val="b"/>
        <c:numFmt formatCode="\+0.0&quot; %&quot;;\-0.0&quot; %&quot;;0.0&quot; %&quot;" sourceLinked="1"/>
        <c:majorTickMark val="none"/>
        <c:minorTickMark val="none"/>
        <c:tickLblPos val="low"/>
        <c:crossAx val="52423296"/>
        <c:crosses val="autoZero"/>
        <c:auto val="1"/>
        <c:lblAlgn val="ctr"/>
        <c:lblOffset val="100"/>
        <c:noMultiLvlLbl val="0"/>
      </c:catAx>
      <c:valAx>
        <c:axId val="52423296"/>
        <c:scaling>
          <c:orientation val="minMax"/>
        </c:scaling>
        <c:delete val="0"/>
        <c:axPos val="l"/>
        <c:majorGridlines>
          <c:spPr>
            <a:ln>
              <a:solidFill>
                <a:srgbClr val="7A9DB9"/>
              </a:solidFill>
            </a:ln>
          </c:spPr>
        </c:majorGridlines>
        <c:numFmt formatCode="#,##0" sourceLinked="1"/>
        <c:majorTickMark val="out"/>
        <c:minorTickMark val="none"/>
        <c:tickLblPos val="nextTo"/>
        <c:crossAx val="5242176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Analysis!$D$136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Analysis!$F$135:$J$135</c:f>
              <c:numCache>
                <c:formatCode>\+0.0" %";\-0.0" %";0.0" %"</c:formatCode>
                <c:ptCount val="5"/>
                <c:pt idx="0">
                  <c:v>-20</c:v>
                </c:pt>
                <c:pt idx="1">
                  <c:v>-10</c:v>
                </c:pt>
                <c:pt idx="2">
                  <c:v>0</c:v>
                </c:pt>
                <c:pt idx="3">
                  <c:v>10</c:v>
                </c:pt>
                <c:pt idx="4">
                  <c:v>20</c:v>
                </c:pt>
              </c:numCache>
            </c:numRef>
          </c:cat>
          <c:val>
            <c:numRef>
              <c:f>Analysis!$F$136:$J$136</c:f>
              <c:numCache>
                <c:formatCode>#,##0</c:formatCode>
                <c:ptCount val="5"/>
                <c:pt idx="0">
                  <c:v>23167551.546876982</c:v>
                </c:pt>
                <c:pt idx="1">
                  <c:v>17758118.901138257</c:v>
                </c:pt>
                <c:pt idx="2">
                  <c:v>12348686.255399536</c:v>
                </c:pt>
                <c:pt idx="3">
                  <c:v>6939253.6096608043</c:v>
                </c:pt>
                <c:pt idx="4">
                  <c:v>1360133.20709681</c:v>
                </c:pt>
              </c:numCache>
            </c:numRef>
          </c:val>
          <c:extLst>
            <c:ext xmlns:c16="http://schemas.microsoft.com/office/drawing/2014/chart" uri="{C3380CC4-5D6E-409C-BE32-E72D297353CC}">
              <c16:uniqueId val="{00000000-0B3C-49E4-BBB8-E3E31F518500}"/>
            </c:ext>
          </c:extLst>
        </c:ser>
        <c:dLbls>
          <c:showLegendKey val="0"/>
          <c:showVal val="1"/>
          <c:showCatName val="0"/>
          <c:showSerName val="0"/>
          <c:showPercent val="0"/>
          <c:showBubbleSize val="0"/>
        </c:dLbls>
        <c:gapWidth val="50"/>
        <c:axId val="53561984"/>
        <c:axId val="53563776"/>
      </c:barChart>
      <c:catAx>
        <c:axId val="53561984"/>
        <c:scaling>
          <c:orientation val="minMax"/>
        </c:scaling>
        <c:delete val="0"/>
        <c:axPos val="b"/>
        <c:numFmt formatCode="\+0.0&quot; %&quot;;\-0.0&quot; %&quot;;0.0&quot; %&quot;" sourceLinked="1"/>
        <c:majorTickMark val="none"/>
        <c:minorTickMark val="none"/>
        <c:tickLblPos val="low"/>
        <c:crossAx val="53563776"/>
        <c:crosses val="autoZero"/>
        <c:auto val="1"/>
        <c:lblAlgn val="ctr"/>
        <c:lblOffset val="100"/>
        <c:noMultiLvlLbl val="0"/>
      </c:catAx>
      <c:valAx>
        <c:axId val="53563776"/>
        <c:scaling>
          <c:orientation val="minMax"/>
        </c:scaling>
        <c:delete val="0"/>
        <c:axPos val="l"/>
        <c:majorGridlines>
          <c:spPr>
            <a:ln>
              <a:solidFill>
                <a:srgbClr val="7A9DB9"/>
              </a:solidFill>
            </a:ln>
          </c:spPr>
        </c:majorGridlines>
        <c:numFmt formatCode="#,##0" sourceLinked="1"/>
        <c:majorTickMark val="out"/>
        <c:minorTickMark val="none"/>
        <c:tickLblPos val="nextTo"/>
        <c:crossAx val="5356198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Analysis!$D$180</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Analysis!$F$179:$J$179</c:f>
              <c:numCache>
                <c:formatCode>\+0.0" %";\-0.0" %";0.0" %"</c:formatCode>
                <c:ptCount val="5"/>
                <c:pt idx="0">
                  <c:v>-20</c:v>
                </c:pt>
                <c:pt idx="1">
                  <c:v>-10</c:v>
                </c:pt>
                <c:pt idx="2">
                  <c:v>0</c:v>
                </c:pt>
                <c:pt idx="3">
                  <c:v>10</c:v>
                </c:pt>
                <c:pt idx="4">
                  <c:v>20</c:v>
                </c:pt>
              </c:numCache>
            </c:numRef>
          </c:cat>
          <c:val>
            <c:numRef>
              <c:f>Analysis!$F$180:$J$180</c:f>
              <c:numCache>
                <c:formatCode>#,##0</c:formatCode>
                <c:ptCount val="5"/>
                <c:pt idx="0">
                  <c:v>14043146.250399185</c:v>
                </c:pt>
                <c:pt idx="1">
                  <c:v>13195916.25289936</c:v>
                </c:pt>
                <c:pt idx="2">
                  <c:v>12348686.255399536</c:v>
                </c:pt>
                <c:pt idx="3">
                  <c:v>11501456.257899713</c:v>
                </c:pt>
                <c:pt idx="4">
                  <c:v>10654226.260399889</c:v>
                </c:pt>
              </c:numCache>
            </c:numRef>
          </c:val>
          <c:extLst>
            <c:ext xmlns:c16="http://schemas.microsoft.com/office/drawing/2014/chart" uri="{C3380CC4-5D6E-409C-BE32-E72D297353CC}">
              <c16:uniqueId val="{00000000-ABEB-4219-8ECE-256CC02EED34}"/>
            </c:ext>
          </c:extLst>
        </c:ser>
        <c:dLbls>
          <c:showLegendKey val="0"/>
          <c:showVal val="1"/>
          <c:showCatName val="0"/>
          <c:showSerName val="0"/>
          <c:showPercent val="0"/>
          <c:showBubbleSize val="0"/>
        </c:dLbls>
        <c:gapWidth val="50"/>
        <c:axId val="53682560"/>
        <c:axId val="53684096"/>
      </c:barChart>
      <c:catAx>
        <c:axId val="53682560"/>
        <c:scaling>
          <c:orientation val="minMax"/>
        </c:scaling>
        <c:delete val="0"/>
        <c:axPos val="b"/>
        <c:numFmt formatCode="\+0.0&quot; %&quot;;\-0.0&quot; %&quot;;0.0&quot; %&quot;" sourceLinked="1"/>
        <c:majorTickMark val="none"/>
        <c:minorTickMark val="none"/>
        <c:tickLblPos val="low"/>
        <c:crossAx val="53684096"/>
        <c:crosses val="autoZero"/>
        <c:auto val="1"/>
        <c:lblAlgn val="ctr"/>
        <c:lblOffset val="100"/>
        <c:noMultiLvlLbl val="0"/>
      </c:catAx>
      <c:valAx>
        <c:axId val="53684096"/>
        <c:scaling>
          <c:orientation val="minMax"/>
        </c:scaling>
        <c:delete val="0"/>
        <c:axPos val="l"/>
        <c:majorGridlines>
          <c:spPr>
            <a:ln>
              <a:solidFill>
                <a:srgbClr val="7A9DB9"/>
              </a:solidFill>
            </a:ln>
          </c:spPr>
        </c:majorGridlines>
        <c:numFmt formatCode="#,##0" sourceLinked="1"/>
        <c:majorTickMark val="out"/>
        <c:minorTickMark val="none"/>
        <c:tickLblPos val="nextTo"/>
        <c:crossAx val="5368256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Analysis!$D$226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Analysis!$F$224:$J$224</c:f>
              <c:numCache>
                <c:formatCode>\+0.0" %";\-0.0" %";0.0" %"</c:formatCode>
                <c:ptCount val="5"/>
                <c:pt idx="0">
                  <c:v>-20</c:v>
                </c:pt>
                <c:pt idx="1">
                  <c:v>-10</c:v>
                </c:pt>
                <c:pt idx="2">
                  <c:v>0</c:v>
                </c:pt>
                <c:pt idx="3">
                  <c:v>10</c:v>
                </c:pt>
                <c:pt idx="4">
                  <c:v>20</c:v>
                </c:pt>
              </c:numCache>
            </c:numRef>
          </c:cat>
          <c:val>
            <c:numRef>
              <c:f>Analysis!$F$226:$J$226</c:f>
              <c:numCache>
                <c:formatCode>#,##0</c:formatCode>
                <c:ptCount val="5"/>
                <c:pt idx="0">
                  <c:v>7776772.2677708659</c:v>
                </c:pt>
                <c:pt idx="1">
                  <c:v>10062729.261585204</c:v>
                </c:pt>
                <c:pt idx="2">
                  <c:v>12348686.255399536</c:v>
                </c:pt>
                <c:pt idx="3">
                  <c:v>14634643.249213884</c:v>
                </c:pt>
                <c:pt idx="4">
                  <c:v>16920600.243028212</c:v>
                </c:pt>
              </c:numCache>
            </c:numRef>
          </c:val>
          <c:extLst>
            <c:ext xmlns:c16="http://schemas.microsoft.com/office/drawing/2014/chart" uri="{C3380CC4-5D6E-409C-BE32-E72D297353CC}">
              <c16:uniqueId val="{00000000-DED8-4D1B-A4DB-A731CF7ABF55}"/>
            </c:ext>
          </c:extLst>
        </c:ser>
        <c:dLbls>
          <c:showLegendKey val="0"/>
          <c:showVal val="1"/>
          <c:showCatName val="0"/>
          <c:showSerName val="0"/>
          <c:showPercent val="0"/>
          <c:showBubbleSize val="0"/>
        </c:dLbls>
        <c:gapWidth val="50"/>
        <c:axId val="53700480"/>
        <c:axId val="53702016"/>
      </c:barChart>
      <c:catAx>
        <c:axId val="53700480"/>
        <c:scaling>
          <c:orientation val="minMax"/>
        </c:scaling>
        <c:delete val="0"/>
        <c:axPos val="b"/>
        <c:numFmt formatCode="\+0.0&quot; %&quot;;\-0.0&quot; %&quot;;0.0&quot; %&quot;" sourceLinked="1"/>
        <c:majorTickMark val="none"/>
        <c:minorTickMark val="none"/>
        <c:tickLblPos val="low"/>
        <c:crossAx val="53702016"/>
        <c:crosses val="autoZero"/>
        <c:auto val="1"/>
        <c:lblAlgn val="ctr"/>
        <c:lblOffset val="100"/>
        <c:noMultiLvlLbl val="0"/>
      </c:catAx>
      <c:valAx>
        <c:axId val="53702016"/>
        <c:scaling>
          <c:orientation val="minMax"/>
        </c:scaling>
        <c:delete val="0"/>
        <c:axPos val="l"/>
        <c:majorGridlines>
          <c:spPr>
            <a:ln>
              <a:solidFill>
                <a:srgbClr val="7A9DB9"/>
              </a:solidFill>
            </a:ln>
          </c:spPr>
        </c:majorGridlines>
        <c:numFmt formatCode="#,##0" sourceLinked="1"/>
        <c:majorTickMark val="out"/>
        <c:minorTickMark val="none"/>
        <c:tickLblPos val="nextTo"/>
        <c:crossAx val="5370048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txPr>
        <a:bodyPr/>
        <a:lstStyle/>
        <a:p>
          <a:pPr>
            <a:defRPr sz="1050"/>
          </a:pPr>
          <a:endParaRPr lang="en-US"/>
        </a:p>
      </c:txPr>
    </c:title>
    <c:autoTitleDeleted val="0"/>
    <c:plotArea>
      <c:layout/>
      <c:barChart>
        <c:barDir val="col"/>
        <c:grouping val="clustered"/>
        <c:varyColors val="1"/>
        <c:ser>
          <c:idx val="0"/>
          <c:order val="0"/>
          <c:tx>
            <c:strRef>
              <c:f>Analysis!$D$272</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Analysis!$F$270:$J$270</c:f>
              <c:numCache>
                <c:formatCode>\+0.0" %";\-0.0" %";0.0" %"</c:formatCode>
                <c:ptCount val="5"/>
                <c:pt idx="0">
                  <c:v>-20</c:v>
                </c:pt>
                <c:pt idx="1">
                  <c:v>-10</c:v>
                </c:pt>
                <c:pt idx="2">
                  <c:v>0</c:v>
                </c:pt>
                <c:pt idx="3">
                  <c:v>10</c:v>
                </c:pt>
                <c:pt idx="4">
                  <c:v>20</c:v>
                </c:pt>
              </c:numCache>
            </c:numRef>
          </c:cat>
          <c:val>
            <c:numRef>
              <c:f>Analysis!$F$272:$J$272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9D0A-411A-93E2-A4C8CE21CD7D}"/>
            </c:ext>
          </c:extLst>
        </c:ser>
        <c:dLbls>
          <c:showLegendKey val="0"/>
          <c:showVal val="1"/>
          <c:showCatName val="0"/>
          <c:showSerName val="0"/>
          <c:showPercent val="0"/>
          <c:showBubbleSize val="0"/>
        </c:dLbls>
        <c:gapWidth val="50"/>
        <c:axId val="54791552"/>
        <c:axId val="54793344"/>
      </c:barChart>
      <c:catAx>
        <c:axId val="54791552"/>
        <c:scaling>
          <c:orientation val="minMax"/>
        </c:scaling>
        <c:delete val="0"/>
        <c:axPos val="b"/>
        <c:numFmt formatCode="\+0.0&quot; %&quot;;\-0.0&quot; %&quot;;0.0&quot; %&quot;" sourceLinked="1"/>
        <c:majorTickMark val="none"/>
        <c:minorTickMark val="none"/>
        <c:tickLblPos val="low"/>
        <c:crossAx val="54793344"/>
        <c:crosses val="autoZero"/>
        <c:auto val="1"/>
        <c:lblAlgn val="ctr"/>
        <c:lblOffset val="100"/>
        <c:noMultiLvlLbl val="0"/>
      </c:catAx>
      <c:valAx>
        <c:axId val="54793344"/>
        <c:scaling>
          <c:orientation val="minMax"/>
        </c:scaling>
        <c:delete val="0"/>
        <c:axPos val="l"/>
        <c:majorGridlines>
          <c:spPr>
            <a:ln>
              <a:solidFill>
                <a:srgbClr val="7A9DB9"/>
              </a:solidFill>
            </a:ln>
          </c:spPr>
        </c:majorGridlines>
        <c:numFmt formatCode="#,##0" sourceLinked="1"/>
        <c:majorTickMark val="out"/>
        <c:minorTickMark val="none"/>
        <c:tickLblPos val="nextTo"/>
        <c:crossAx val="54791552"/>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Analysis!$D$318</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Analysis!$F$316:$J$316</c:f>
              <c:numCache>
                <c:formatCode>\+0.0" %";\-0.0" %";0.0" %"</c:formatCode>
                <c:ptCount val="5"/>
                <c:pt idx="0">
                  <c:v>-20</c:v>
                </c:pt>
                <c:pt idx="1">
                  <c:v>-10</c:v>
                </c:pt>
                <c:pt idx="2">
                  <c:v>0</c:v>
                </c:pt>
                <c:pt idx="3">
                  <c:v>10</c:v>
                </c:pt>
                <c:pt idx="4">
                  <c:v>20</c:v>
                </c:pt>
              </c:numCache>
            </c:numRef>
          </c:cat>
          <c:val>
            <c:numRef>
              <c:f>Analysis!$F$318:$J$318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2CFE-4B5C-8402-4A31D327CBDA}"/>
            </c:ext>
          </c:extLst>
        </c:ser>
        <c:dLbls>
          <c:showLegendKey val="0"/>
          <c:showVal val="1"/>
          <c:showCatName val="0"/>
          <c:showSerName val="0"/>
          <c:showPercent val="0"/>
          <c:showBubbleSize val="0"/>
        </c:dLbls>
        <c:gapWidth val="50"/>
        <c:axId val="54817920"/>
        <c:axId val="54819456"/>
      </c:barChart>
      <c:catAx>
        <c:axId val="54817920"/>
        <c:scaling>
          <c:orientation val="minMax"/>
        </c:scaling>
        <c:delete val="0"/>
        <c:axPos val="b"/>
        <c:numFmt formatCode="\+0.0&quot; %&quot;;\-0.0&quot; %&quot;;0.0&quot; %&quot;" sourceLinked="1"/>
        <c:majorTickMark val="none"/>
        <c:minorTickMark val="none"/>
        <c:tickLblPos val="low"/>
        <c:crossAx val="54819456"/>
        <c:crosses val="autoZero"/>
        <c:auto val="1"/>
        <c:lblAlgn val="ctr"/>
        <c:lblOffset val="100"/>
        <c:noMultiLvlLbl val="0"/>
      </c:catAx>
      <c:valAx>
        <c:axId val="54819456"/>
        <c:scaling>
          <c:orientation val="minMax"/>
        </c:scaling>
        <c:delete val="0"/>
        <c:axPos val="l"/>
        <c:majorGridlines>
          <c:spPr>
            <a:ln>
              <a:solidFill>
                <a:srgbClr val="7A9DB9"/>
              </a:solidFill>
            </a:ln>
          </c:spPr>
        </c:majorGridlines>
        <c:numFmt formatCode="#,##0" sourceLinked="1"/>
        <c:majorTickMark val="out"/>
        <c:minorTickMark val="none"/>
        <c:tickLblPos val="nextTo"/>
        <c:crossAx val="5481792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heets/_rels/sheet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6.xml"/></Relationships>
</file>

<file path=xl/chartsheets/_rels/sheet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7.xml"/></Relationships>
</file>

<file path=xl/chartsheets/_rels/sheet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r="http://schemas.microsoft.com/office/spreadsheetml/2014/revision" xmlns:xr3="http://schemas.microsoft.com/office/spreadsheetml/2016/revision3" mc:Ignorable="xr xr3" xr:uid="{00000000-0001-0000-0500-000000000000}">
  <sheetPr codeName="Chart11"/>
  <sheetViews>
    <sheetView zoomScale="173" workbookViewId="0" zoomToFit="1"/>
  </sheetViews>
  <pageMargins left="0.7" right="0.7" top="0.75" bottom="0.75" header="0.3" footer="0.3"/>
  <drawing r:id="rId1"/>
  <legacyDrawing r:id="rId2"/>
</chartsheet>
</file>

<file path=xl/chartsheets/sheet2.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r="http://schemas.microsoft.com/office/spreadsheetml/2014/revision" xmlns:xr3="http://schemas.microsoft.com/office/spreadsheetml/2016/revision3" mc:Ignorable="xr xr3" xr:uid="{00000000-0001-0000-0600-000000000000}">
  <sheetPr codeName="Chart53"/>
  <sheetViews>
    <sheetView zoomScale="176" workbookViewId="0"/>
  </sheetViews>
  <pageMargins left="0.7" right="0.7" top="0.75" bottom="0.75" header="0.3" footer="0.3"/>
  <drawing r:id="rId1"/>
  <legacyDrawing r:id="rId2"/>
</chartsheet>
</file>

<file path=xl/chartsheets/sheet3.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r="http://schemas.microsoft.com/office/spreadsheetml/2014/revision" xmlns:xr3="http://schemas.microsoft.com/office/spreadsheetml/2016/revision3" mc:Ignorable="xr xr3" xr:uid="{00000000-0001-0000-0700-000000000000}">
  <sheetPr codeName="Chart1"/>
  <sheetViews>
    <sheetView zoomScale="176" workbookViewId="0"/>
  </sheetViews>
  <pageMargins left="0.7" right="0.7" top="0.75" bottom="0.75" header="0.3" footer="0.3"/>
  <drawing r:id="rId1"/>
  <legacyDrawing r:id="rId2"/>
</chartsheet>
</file>

<file path=xl/ctrlProps/ctrlProp1.xml><?xml version="1.0" encoding="utf-8"?>
<formControlPr xmlns="http://schemas.microsoft.com/office/spreadsheetml/2009/9/main" objectType="CheckBox" fmlaLink="CalculatedDepreciation" lockText="1" noThreeD="1"/>
</file>

<file path=xl/ctrlProps/ctrlProp10.xml><?xml version="1.0" encoding="utf-8"?>
<formControlPr xmlns="http://schemas.microsoft.com/office/spreadsheetml/2009/9/main" objectType="Drop" dropLines="2" dropStyle="combo" dx="16" fmlaLink="GWtype" fmlaRange="GWtypeDD" noThreeD="1" sel="2" val="0"/>
</file>

<file path=xl/ctrlProps/ctrlProp100.xml><?xml version="1.0" encoding="utf-8"?>
<formControlPr xmlns="http://schemas.microsoft.com/office/spreadsheetml/2009/9/main" objectType="Drop" dropLines="11" dropStyle="combo" dx="16" fmlaLink="Analysis04Ratio05" fmlaRange="RatiosDD" noThreeD="1" sel="5" val="0"/>
</file>

<file path=xl/ctrlProps/ctrlProp101.xml><?xml version="1.0" encoding="utf-8"?>
<formControlPr xmlns="http://schemas.microsoft.com/office/spreadsheetml/2009/9/main" objectType="Drop" dropLines="11" dropStyle="combo" dx="16" fmlaLink="Analysis04Ratio06" fmlaRange="RatiosDD" noThreeD="1" sel="6" val="0"/>
</file>

<file path=xl/ctrlProps/ctrlProp102.xml><?xml version="1.0" encoding="utf-8"?>
<formControlPr xmlns="http://schemas.microsoft.com/office/spreadsheetml/2009/9/main" objectType="Drop" dropLines="11" dropStyle="combo" dx="16" fmlaLink="Analysis05Ratio01" fmlaRange="RatiosDD" noThreeD="1" sel="1" val="0"/>
</file>

<file path=xl/ctrlProps/ctrlProp103.xml><?xml version="1.0" encoding="utf-8"?>
<formControlPr xmlns="http://schemas.microsoft.com/office/spreadsheetml/2009/9/main" objectType="Drop" dropLines="11" dropStyle="combo" dx="16" fmlaLink="Analysis05Ratio02" fmlaRange="RatiosDD" noThreeD="1" sel="2" val="0"/>
</file>

<file path=xl/ctrlProps/ctrlProp104.xml><?xml version="1.0" encoding="utf-8"?>
<formControlPr xmlns="http://schemas.microsoft.com/office/spreadsheetml/2009/9/main" objectType="Drop" dropLines="11" dropStyle="combo" dx="16" fmlaLink="Analysis05Ratio03" fmlaRange="RatiosDD" noThreeD="1" sel="3" val="0"/>
</file>

<file path=xl/ctrlProps/ctrlProp105.xml><?xml version="1.0" encoding="utf-8"?>
<formControlPr xmlns="http://schemas.microsoft.com/office/spreadsheetml/2009/9/main" objectType="Drop" dropLines="11" dropStyle="combo" dx="16" fmlaLink="Analysis05Ratio04" fmlaRange="RatiosDD" noThreeD="1" sel="4" val="0"/>
</file>

<file path=xl/ctrlProps/ctrlProp106.xml><?xml version="1.0" encoding="utf-8"?>
<formControlPr xmlns="http://schemas.microsoft.com/office/spreadsheetml/2009/9/main" objectType="Drop" dropLines="11" dropStyle="combo" dx="16" fmlaLink="Analysis05Ratio05" fmlaRange="RatiosDD" noThreeD="1" sel="5" val="0"/>
</file>

<file path=xl/ctrlProps/ctrlProp107.xml><?xml version="1.0" encoding="utf-8"?>
<formControlPr xmlns="http://schemas.microsoft.com/office/spreadsheetml/2009/9/main" objectType="Drop" dropLines="11" dropStyle="combo" dx="16" fmlaLink="Analysis05Ratio06" fmlaRange="RatiosDD" noThreeD="1" sel="6" val="0"/>
</file>

<file path=xl/ctrlProps/ctrlProp108.xml><?xml version="1.0" encoding="utf-8"?>
<formControlPr xmlns="http://schemas.microsoft.com/office/spreadsheetml/2009/9/main" objectType="Drop" dropLines="11" dropStyle="combo" dx="16" fmlaLink="FinYearRIndex06" fmlaRange="FinYearsR" noThreeD="1" sel="1" val="0"/>
</file>

<file path=xl/ctrlProps/ctrlProp109.xml><?xml version="1.0" encoding="utf-8"?>
<formControlPr xmlns="http://schemas.microsoft.com/office/spreadsheetml/2009/9/main" objectType="Drop" dropLines="11" dropStyle="combo" dx="16" fmlaLink="Analysis06Ratio01" fmlaRange="RatiosDD" noThreeD="1" sel="1" val="0"/>
</file>

<file path=xl/ctrlProps/ctrlProp11.xml><?xml version="1.0" encoding="utf-8"?>
<formControlPr xmlns="http://schemas.microsoft.com/office/spreadsheetml/2009/9/main" objectType="Drop" dropLines="13" dropStyle="combo" dx="16" fmlaLink="IFRSAlloc01" fmlaRange="IFRSallocDD" noThreeD="1" sel="0" val="0"/>
</file>

<file path=xl/ctrlProps/ctrlProp110.xml><?xml version="1.0" encoding="utf-8"?>
<formControlPr xmlns="http://schemas.microsoft.com/office/spreadsheetml/2009/9/main" objectType="Drop" dropLines="11" dropStyle="combo" dx="16" fmlaLink="Analysis06Ratio02" fmlaRange="RatiosDD" noThreeD="1" sel="2" val="0"/>
</file>

<file path=xl/ctrlProps/ctrlProp111.xml><?xml version="1.0" encoding="utf-8"?>
<formControlPr xmlns="http://schemas.microsoft.com/office/spreadsheetml/2009/9/main" objectType="Drop" dropLines="11" dropStyle="combo" dx="16" fmlaLink="Analysis06Ratio03" fmlaRange="RatiosDD" noThreeD="1" sel="3" val="0"/>
</file>

<file path=xl/ctrlProps/ctrlProp112.xml><?xml version="1.0" encoding="utf-8"?>
<formControlPr xmlns="http://schemas.microsoft.com/office/spreadsheetml/2009/9/main" objectType="Drop" dropLines="11" dropStyle="combo" dx="16" fmlaLink="Analysis06Ratio04" fmlaRange="RatiosDD" noThreeD="1" sel="4" val="0"/>
</file>

<file path=xl/ctrlProps/ctrlProp113.xml><?xml version="1.0" encoding="utf-8"?>
<formControlPr xmlns="http://schemas.microsoft.com/office/spreadsheetml/2009/9/main" objectType="Drop" dropLines="11" dropStyle="combo" dx="16" fmlaLink="Analysis06Ratio05" fmlaRange="RatiosDD" noThreeD="1" sel="5" val="4"/>
</file>

<file path=xl/ctrlProps/ctrlProp114.xml><?xml version="1.0" encoding="utf-8"?>
<formControlPr xmlns="http://schemas.microsoft.com/office/spreadsheetml/2009/9/main" objectType="Drop" dropLines="11" dropStyle="combo" dx="16" fmlaLink="Analysis06Ratio06" fmlaRange="RatiosDD" noThreeD="1" sel="6" val="0"/>
</file>

<file path=xl/ctrlProps/ctrlProp115.xml><?xml version="1.0" encoding="utf-8"?>
<formControlPr xmlns="http://schemas.microsoft.com/office/spreadsheetml/2009/9/main" objectType="Drop" dropLines="40" dropStyle="combo" dx="16" fmlaLink="IncVar2" fmlaRange="VarList01" noThreeD="1" sel="1" val="0"/>
</file>

<file path=xl/ctrlProps/ctrlProp116.xml><?xml version="1.0" encoding="utf-8"?>
<formControlPr xmlns="http://schemas.microsoft.com/office/spreadsheetml/2009/9/main" objectType="Drop" dropLines="21" dropStyle="combo" dx="16" fmlaRange="ColHeadersR" noThreeD="1" sel="2" val="0"/>
</file>

<file path=xl/ctrlProps/ctrlProp117.xml><?xml version="1.0" encoding="utf-8"?>
<formControlPr xmlns="http://schemas.microsoft.com/office/spreadsheetml/2009/9/main" objectType="Drop" dropStyle="combo" dx="16" fmlaLink="FinYearRIndex07" fmlaRange="FinYearsR" noThreeD="1" sel="1" val="0"/>
</file>

<file path=xl/ctrlProps/ctrlProp118.xml><?xml version="1.0" encoding="utf-8"?>
<formControlPr xmlns="http://schemas.microsoft.com/office/spreadsheetml/2009/9/main" objectType="Drop" dropLines="9" dropStyle="combo" dx="16" fmlaLink="AFactor" fmlaRange="AFactorList" noThreeD="1" sel="1" val="0"/>
</file>

<file path=xl/ctrlProps/ctrlProp119.xml><?xml version="1.0" encoding="utf-8"?>
<formControlPr xmlns="http://schemas.microsoft.com/office/spreadsheetml/2009/9/main" objectType="Drop" dropLines="11" dropStyle="combo" dx="16" fmlaLink="Analysis07Ratio01" fmlaRange="RatiosDD" noThreeD="1" sel="1" val="0"/>
</file>

<file path=xl/ctrlProps/ctrlProp12.xml><?xml version="1.0" encoding="utf-8"?>
<formControlPr xmlns="http://schemas.microsoft.com/office/spreadsheetml/2009/9/main" objectType="Drop" dropLines="3" dropStyle="combo" dx="16" fmlaLink="IFRSDepr01" fmlaRange="BalDeprDD" noThreeD="1" sel="1" val="0"/>
</file>

<file path=xl/ctrlProps/ctrlProp120.xml><?xml version="1.0" encoding="utf-8"?>
<formControlPr xmlns="http://schemas.microsoft.com/office/spreadsheetml/2009/9/main" objectType="Drop" dropLines="11" dropStyle="combo" dx="16" fmlaLink="Analysis07Ratio02" fmlaRange="RatiosDD" noThreeD="1" sel="2" val="0"/>
</file>

<file path=xl/ctrlProps/ctrlProp121.xml><?xml version="1.0" encoding="utf-8"?>
<formControlPr xmlns="http://schemas.microsoft.com/office/spreadsheetml/2009/9/main" objectType="Drop" dropLines="11" dropStyle="combo" dx="16" fmlaLink="Analysis07Ratio03" fmlaRange="RatiosDD" noThreeD="1" sel="3" val="0"/>
</file>

<file path=xl/ctrlProps/ctrlProp122.xml><?xml version="1.0" encoding="utf-8"?>
<formControlPr xmlns="http://schemas.microsoft.com/office/spreadsheetml/2009/9/main" objectType="Drop" dropLines="11" dropStyle="combo" dx="16" fmlaLink="Analysis07Ratio04" fmlaRange="RatiosDD" noThreeD="1" sel="4" val="0"/>
</file>

<file path=xl/ctrlProps/ctrlProp123.xml><?xml version="1.0" encoding="utf-8"?>
<formControlPr xmlns="http://schemas.microsoft.com/office/spreadsheetml/2009/9/main" objectType="Drop" dropLines="11" dropStyle="combo" dx="16" fmlaLink="Analysis07Ratio05" fmlaRange="RatiosDD" noThreeD="1" sel="5" val="0"/>
</file>

<file path=xl/ctrlProps/ctrlProp124.xml><?xml version="1.0" encoding="utf-8"?>
<formControlPr xmlns="http://schemas.microsoft.com/office/spreadsheetml/2009/9/main" objectType="Drop" dropLines="11" dropStyle="combo" dx="16" fmlaLink="Analysis07Ratio06" fmlaRange="RatiosDD" noThreeD="1" sel="6" val="0"/>
</file>

<file path=xl/ctrlProps/ctrlProp125.xml><?xml version="1.0" encoding="utf-8"?>
<formControlPr xmlns="http://schemas.microsoft.com/office/spreadsheetml/2009/9/main" objectType="Drop" dropLines="40" dropStyle="combo" dx="16" fmlaLink="IncVar3" fmlaRange="VarList01" noThreeD="1" sel="1" val="0"/>
</file>

<file path=xl/ctrlProps/ctrlProp126.xml><?xml version="1.0" encoding="utf-8"?>
<formControlPr xmlns="http://schemas.microsoft.com/office/spreadsheetml/2009/9/main" objectType="Drop" dropLines="21" dropStyle="combo" dx="16" fmlaRange="ColHeadersR" noThreeD="1" sel="2" val="0"/>
</file>

<file path=xl/ctrlProps/ctrlProp127.xml><?xml version="1.0" encoding="utf-8"?>
<formControlPr xmlns="http://schemas.microsoft.com/office/spreadsheetml/2009/9/main" objectType="Drop" dropStyle="combo" dx="16" fmlaLink="FinYearRIndex08" fmlaRange="FinYearsR" noThreeD="1" sel="1" val="0"/>
</file>

<file path=xl/ctrlProps/ctrlProp128.xml><?xml version="1.0" encoding="utf-8"?>
<formControlPr xmlns="http://schemas.microsoft.com/office/spreadsheetml/2009/9/main" objectType="Drop" dropLines="9" dropStyle="combo" dx="16" fmlaLink="AFactor" fmlaRange="AFactorList" noThreeD="1" sel="1" val="0"/>
</file>

<file path=xl/ctrlProps/ctrlProp129.xml><?xml version="1.0" encoding="utf-8"?>
<formControlPr xmlns="http://schemas.microsoft.com/office/spreadsheetml/2009/9/main" objectType="Drop" dropLines="11" dropStyle="combo" dx="16" fmlaLink="Analysis08Ratio01" fmlaRange="RatiosDD" noThreeD="1" sel="1" val="0"/>
</file>

<file path=xl/ctrlProps/ctrlProp13.xml><?xml version="1.0" encoding="utf-8"?>
<formControlPr xmlns="http://schemas.microsoft.com/office/spreadsheetml/2009/9/main" objectType="Drop" dropLines="13" dropStyle="combo" dx="16" fmlaLink="IFRSAlloc02" fmlaRange="IFRSallocDD" noThreeD="1" sel="0" val="0"/>
</file>

<file path=xl/ctrlProps/ctrlProp130.xml><?xml version="1.0" encoding="utf-8"?>
<formControlPr xmlns="http://schemas.microsoft.com/office/spreadsheetml/2009/9/main" objectType="Drop" dropLines="11" dropStyle="combo" dx="16" fmlaLink="Analysis08Ratio02" fmlaRange="RatiosDD" noThreeD="1" sel="2" val="0"/>
</file>

<file path=xl/ctrlProps/ctrlProp131.xml><?xml version="1.0" encoding="utf-8"?>
<formControlPr xmlns="http://schemas.microsoft.com/office/spreadsheetml/2009/9/main" objectType="Drop" dropLines="11" dropStyle="combo" dx="16" fmlaLink="Analysis08Ratio03" fmlaRange="RatiosDD" noThreeD="1" sel="3" val="0"/>
</file>

<file path=xl/ctrlProps/ctrlProp132.xml><?xml version="1.0" encoding="utf-8"?>
<formControlPr xmlns="http://schemas.microsoft.com/office/spreadsheetml/2009/9/main" objectType="Drop" dropLines="11" dropStyle="combo" dx="16" fmlaLink="Analysis08Ratio04" fmlaRange="RatiosDD" noThreeD="1" sel="4" val="0"/>
</file>

<file path=xl/ctrlProps/ctrlProp133.xml><?xml version="1.0" encoding="utf-8"?>
<formControlPr xmlns="http://schemas.microsoft.com/office/spreadsheetml/2009/9/main" objectType="Drop" dropLines="11" dropStyle="combo" dx="16" fmlaLink="Analysis08Ratio05" fmlaRange="RatiosDD" noThreeD="1" sel="5" val="0"/>
</file>

<file path=xl/ctrlProps/ctrlProp134.xml><?xml version="1.0" encoding="utf-8"?>
<formControlPr xmlns="http://schemas.microsoft.com/office/spreadsheetml/2009/9/main" objectType="Drop" dropLines="11" dropStyle="combo" dx="16" fmlaLink="Analysis08Ratio06" fmlaRange="RatiosDD" noThreeD="1" sel="6" val="0"/>
</file>

<file path=xl/ctrlProps/ctrlProp135.xml><?xml version="1.0" encoding="utf-8"?>
<formControlPr xmlns="http://schemas.microsoft.com/office/spreadsheetml/2009/9/main" objectType="Drop" dropLines="40" dropStyle="combo" dx="16" fmlaLink="IncVar4" fmlaRange="VarList01" noThreeD="1" sel="1" val="0"/>
</file>

<file path=xl/ctrlProps/ctrlProp136.xml><?xml version="1.0" encoding="utf-8"?>
<formControlPr xmlns="http://schemas.microsoft.com/office/spreadsheetml/2009/9/main" objectType="Drop" dropLines="21" dropStyle="combo" dx="16" fmlaRange="ColHeadersR" noThreeD="1" sel="2" val="0"/>
</file>

<file path=xl/ctrlProps/ctrlProp137.xml><?xml version="1.0" encoding="utf-8"?>
<formControlPr xmlns="http://schemas.microsoft.com/office/spreadsheetml/2009/9/main" objectType="Drop" dropStyle="combo" dx="16" fmlaLink="FinYearRIndex09" fmlaRange="FinYearsR" noThreeD="1" sel="1" val="0"/>
</file>

<file path=xl/ctrlProps/ctrlProp138.xml><?xml version="1.0" encoding="utf-8"?>
<formControlPr xmlns="http://schemas.microsoft.com/office/spreadsheetml/2009/9/main" objectType="Drop" dropLines="9" dropStyle="combo" dx="16" fmlaLink="AFactor" fmlaRange="AFactorList" noThreeD="1" sel="1" val="0"/>
</file>

<file path=xl/ctrlProps/ctrlProp139.xml><?xml version="1.0" encoding="utf-8"?>
<formControlPr xmlns="http://schemas.microsoft.com/office/spreadsheetml/2009/9/main" objectType="Drop" dropLines="11" dropStyle="combo" dx="16" fmlaLink="Analysis09Ratio01" fmlaRange="RatiosDD" noThreeD="1" sel="1" val="0"/>
</file>

<file path=xl/ctrlProps/ctrlProp14.xml><?xml version="1.0" encoding="utf-8"?>
<formControlPr xmlns="http://schemas.microsoft.com/office/spreadsheetml/2009/9/main" objectType="Drop" dropLines="3" dropStyle="combo" dx="16" fmlaLink="IFRSDepr02" fmlaRange="BalDeprDD" noThreeD="1" sel="0" val="0"/>
</file>

<file path=xl/ctrlProps/ctrlProp140.xml><?xml version="1.0" encoding="utf-8"?>
<formControlPr xmlns="http://schemas.microsoft.com/office/spreadsheetml/2009/9/main" objectType="Drop" dropLines="11" dropStyle="combo" dx="16" fmlaLink="Analysis09Ratio02" fmlaRange="RatiosDD" noThreeD="1" sel="2" val="0"/>
</file>

<file path=xl/ctrlProps/ctrlProp141.xml><?xml version="1.0" encoding="utf-8"?>
<formControlPr xmlns="http://schemas.microsoft.com/office/spreadsheetml/2009/9/main" objectType="Drop" dropLines="11" dropStyle="combo" dx="16" fmlaLink="Analysis09Ratio03" fmlaRange="RatiosDD" noThreeD="1" sel="3" val="0"/>
</file>

<file path=xl/ctrlProps/ctrlProp142.xml><?xml version="1.0" encoding="utf-8"?>
<formControlPr xmlns="http://schemas.microsoft.com/office/spreadsheetml/2009/9/main" objectType="Drop" dropLines="11" dropStyle="combo" dx="16" fmlaLink="Analysis09Ratio04" fmlaRange="RatiosDD" noThreeD="1" sel="4" val="0"/>
</file>

<file path=xl/ctrlProps/ctrlProp143.xml><?xml version="1.0" encoding="utf-8"?>
<formControlPr xmlns="http://schemas.microsoft.com/office/spreadsheetml/2009/9/main" objectType="Drop" dropLines="11" dropStyle="combo" dx="16" fmlaLink="Analysis09Ratio05" fmlaRange="RatiosDD" noThreeD="1" sel="5" val="0"/>
</file>

<file path=xl/ctrlProps/ctrlProp144.xml><?xml version="1.0" encoding="utf-8"?>
<formControlPr xmlns="http://schemas.microsoft.com/office/spreadsheetml/2009/9/main" objectType="Drop" dropLines="11" dropStyle="combo" dx="16" fmlaLink="Analysis09Ratio06" fmlaRange="RatiosDD" noThreeD="1" sel="6" val="0"/>
</file>

<file path=xl/ctrlProps/ctrlProp145.xml><?xml version="1.0" encoding="utf-8"?>
<formControlPr xmlns="http://schemas.microsoft.com/office/spreadsheetml/2009/9/main" objectType="Drop" dropLines="40" dropStyle="combo" dx="16" fmlaLink="IncVar5" fmlaRange="VarList01" noThreeD="1" sel="1" val="0"/>
</file>

<file path=xl/ctrlProps/ctrlProp146.xml><?xml version="1.0" encoding="utf-8"?>
<formControlPr xmlns="http://schemas.microsoft.com/office/spreadsheetml/2009/9/main" objectType="Drop" dropLines="21" dropStyle="combo" dx="16" fmlaRange="ColHeadersR" noThreeD="1" sel="2" val="0"/>
</file>

<file path=xl/ctrlProps/ctrlProp147.xml><?xml version="1.0" encoding="utf-8"?>
<formControlPr xmlns="http://schemas.microsoft.com/office/spreadsheetml/2009/9/main" objectType="Drop" dropStyle="combo" dx="16" fmlaLink="FinYearRIndex10" fmlaRange="FinYearsR" noThreeD="1" sel="1" val="0"/>
</file>

<file path=xl/ctrlProps/ctrlProp148.xml><?xml version="1.0" encoding="utf-8"?>
<formControlPr xmlns="http://schemas.microsoft.com/office/spreadsheetml/2009/9/main" objectType="Drop" dropLines="9" dropStyle="combo" dx="16" fmlaLink="AFactor" fmlaRange="AFactorList" noThreeD="1" sel="1" val="0"/>
</file>

<file path=xl/ctrlProps/ctrlProp149.xml><?xml version="1.0" encoding="utf-8"?>
<formControlPr xmlns="http://schemas.microsoft.com/office/spreadsheetml/2009/9/main" objectType="Drop" dropLines="11" dropStyle="combo" dx="16" fmlaLink="Analysis10Ratio01" fmlaRange="RatiosDD" noThreeD="1" sel="1" val="0"/>
</file>

<file path=xl/ctrlProps/ctrlProp15.xml><?xml version="1.0" encoding="utf-8"?>
<formControlPr xmlns="http://schemas.microsoft.com/office/spreadsheetml/2009/9/main" objectType="Drop" dropLines="13" dropStyle="combo" dx="16" fmlaLink="IFRSAlloc03" fmlaRange="IFRSallocDD" noThreeD="1" sel="0" val="0"/>
</file>

<file path=xl/ctrlProps/ctrlProp150.xml><?xml version="1.0" encoding="utf-8"?>
<formControlPr xmlns="http://schemas.microsoft.com/office/spreadsheetml/2009/9/main" objectType="Drop" dropLines="11" dropStyle="combo" dx="16" fmlaLink="Analysis10Ratio02" fmlaRange="RatiosDD" noThreeD="1" sel="2" val="0"/>
</file>

<file path=xl/ctrlProps/ctrlProp151.xml><?xml version="1.0" encoding="utf-8"?>
<formControlPr xmlns="http://schemas.microsoft.com/office/spreadsheetml/2009/9/main" objectType="Drop" dropLines="11" dropStyle="combo" dx="16" fmlaLink="Analysis10Ratio03" fmlaRange="RatiosDD" noThreeD="1" sel="3" val="0"/>
</file>

<file path=xl/ctrlProps/ctrlProp152.xml><?xml version="1.0" encoding="utf-8"?>
<formControlPr xmlns="http://schemas.microsoft.com/office/spreadsheetml/2009/9/main" objectType="Drop" dropLines="11" dropStyle="combo" dx="16" fmlaLink="Analysis10Ratio04" fmlaRange="RatiosDD" noThreeD="1" sel="4" val="0"/>
</file>

<file path=xl/ctrlProps/ctrlProp153.xml><?xml version="1.0" encoding="utf-8"?>
<formControlPr xmlns="http://schemas.microsoft.com/office/spreadsheetml/2009/9/main" objectType="Drop" dropLines="11" dropStyle="combo" dx="16" fmlaLink="Analysis10Ratio05" fmlaRange="RatiosDD" noThreeD="1" sel="5" val="0"/>
</file>

<file path=xl/ctrlProps/ctrlProp154.xml><?xml version="1.0" encoding="utf-8"?>
<formControlPr xmlns="http://schemas.microsoft.com/office/spreadsheetml/2009/9/main" objectType="Drop" dropLines="11" dropStyle="combo" dx="16" fmlaLink="Analysis10Ratio06" fmlaRange="RatiosDD" noThreeD="1" sel="6" val="0"/>
</file>

<file path=xl/ctrlProps/ctrlProp155.xml><?xml version="1.0" encoding="utf-8"?>
<formControlPr xmlns="http://schemas.microsoft.com/office/spreadsheetml/2009/9/main" objectType="Drop" dropLines="40" dropStyle="combo" dx="16" fmlaLink="IncVar6" fmlaRange="VarList01" noThreeD="1" sel="1" val="0"/>
</file>

<file path=xl/ctrlProps/ctrlProp156.xml><?xml version="1.0" encoding="utf-8"?>
<formControlPr xmlns="http://schemas.microsoft.com/office/spreadsheetml/2009/9/main" objectType="Drop" dropLines="21" dropStyle="combo" dx="16" fmlaRange="ColHeadersR" noThreeD="1" sel="2" val="0"/>
</file>

<file path=xl/ctrlProps/ctrlProp157.xml><?xml version="1.0" encoding="utf-8"?>
<formControlPr xmlns="http://schemas.microsoft.com/office/spreadsheetml/2009/9/main" objectType="Drop" dropStyle="combo" dx="16" fmlaLink="FinYearRIndex11" fmlaRange="FinYearsR" noThreeD="1" sel="1" val="0"/>
</file>

<file path=xl/ctrlProps/ctrlProp158.xml><?xml version="1.0" encoding="utf-8"?>
<formControlPr xmlns="http://schemas.microsoft.com/office/spreadsheetml/2009/9/main" objectType="Drop" dropLines="9" dropStyle="combo" dx="16" fmlaLink="AFactor" fmlaRange="AFactorList" noThreeD="1" sel="1" val="0"/>
</file>

<file path=xl/ctrlProps/ctrlProp159.xml><?xml version="1.0" encoding="utf-8"?>
<formControlPr xmlns="http://schemas.microsoft.com/office/spreadsheetml/2009/9/main" objectType="Drop" dropLines="11" dropStyle="combo" dx="16" fmlaLink="Analysis11Ratio01" fmlaRange="RatiosDD" noThreeD="1" sel="1" val="0"/>
</file>

<file path=xl/ctrlProps/ctrlProp16.xml><?xml version="1.0" encoding="utf-8"?>
<formControlPr xmlns="http://schemas.microsoft.com/office/spreadsheetml/2009/9/main" objectType="Drop" dropLines="3" dropStyle="combo" dx="16" fmlaLink="IFRSDepr03" fmlaRange="BalDeprDD" noThreeD="1" sel="0" val="0"/>
</file>

<file path=xl/ctrlProps/ctrlProp160.xml><?xml version="1.0" encoding="utf-8"?>
<formControlPr xmlns="http://schemas.microsoft.com/office/spreadsheetml/2009/9/main" objectType="Drop" dropLines="11" dropStyle="combo" dx="16" fmlaLink="Analysis11Ratio02" fmlaRange="RatiosDD" noThreeD="1" sel="2" val="0"/>
</file>

<file path=xl/ctrlProps/ctrlProp161.xml><?xml version="1.0" encoding="utf-8"?>
<formControlPr xmlns="http://schemas.microsoft.com/office/spreadsheetml/2009/9/main" objectType="Drop" dropLines="11" dropStyle="combo" dx="16" fmlaLink="Analysis11Ratio03" fmlaRange="RatiosDD" noThreeD="1" sel="3" val="0"/>
</file>

<file path=xl/ctrlProps/ctrlProp162.xml><?xml version="1.0" encoding="utf-8"?>
<formControlPr xmlns="http://schemas.microsoft.com/office/spreadsheetml/2009/9/main" objectType="Drop" dropLines="11" dropStyle="combo" dx="16" fmlaLink="Analysis11Ratio04" fmlaRange="RatiosDD" noThreeD="1" sel="4" val="0"/>
</file>

<file path=xl/ctrlProps/ctrlProp163.xml><?xml version="1.0" encoding="utf-8"?>
<formControlPr xmlns="http://schemas.microsoft.com/office/spreadsheetml/2009/9/main" objectType="Drop" dropLines="11" dropStyle="combo" dx="16" fmlaLink="Analysis11Ratio05" fmlaRange="RatiosDD" noThreeD="1" sel="5" val="0"/>
</file>

<file path=xl/ctrlProps/ctrlProp164.xml><?xml version="1.0" encoding="utf-8"?>
<formControlPr xmlns="http://schemas.microsoft.com/office/spreadsheetml/2009/9/main" objectType="Drop" dropLines="11" dropStyle="combo" dx="16" fmlaLink="Analysis11Ratio06" fmlaRange="RatiosDD" noThreeD="1" sel="6" val="0"/>
</file>

<file path=xl/ctrlProps/ctrlProp165.xml><?xml version="1.0" encoding="utf-8"?>
<formControlPr xmlns="http://schemas.microsoft.com/office/spreadsheetml/2009/9/main" objectType="CheckBox" checked="Checked" fmlaLink="VarIncludeRows" lockText="1" noThreeD="1"/>
</file>

<file path=xl/ctrlProps/ctrlProp166.xml><?xml version="1.0" encoding="utf-8"?>
<formControlPr xmlns="http://schemas.microsoft.com/office/spreadsheetml/2009/9/main" objectType="CheckBox" checked="Checked" fmlaLink="VarIncludeRows" lockText="1" noThreeD="1"/>
</file>

<file path=xl/ctrlProps/ctrlProp167.xml><?xml version="1.0" encoding="utf-8"?>
<formControlPr xmlns="http://schemas.microsoft.com/office/spreadsheetml/2009/9/main" objectType="CheckBox" checked="Checked" fmlaLink="VarIncludeRows" lockText="1" noThreeD="1"/>
</file>

<file path=xl/ctrlProps/ctrlProp168.xml><?xml version="1.0" encoding="utf-8"?>
<formControlPr xmlns="http://schemas.microsoft.com/office/spreadsheetml/2009/9/main" objectType="CheckBox" checked="Checked" fmlaLink="VarIncludeRows" lockText="1" noThreeD="1"/>
</file>

<file path=xl/ctrlProps/ctrlProp169.xml><?xml version="1.0" encoding="utf-8"?>
<formControlPr xmlns="http://schemas.microsoft.com/office/spreadsheetml/2009/9/main" objectType="CheckBox" checked="Checked" fmlaLink="VarIncludeRows" lockText="1" noThreeD="1"/>
</file>

<file path=xl/ctrlProps/ctrlProp17.xml><?xml version="1.0" encoding="utf-8"?>
<formControlPr xmlns="http://schemas.microsoft.com/office/spreadsheetml/2009/9/main" objectType="Drop" dropLines="13" dropStyle="combo" dx="16" fmlaLink="IFRSAlloc04" fmlaRange="IFRSallocDD" noThreeD="1" sel="0" val="0"/>
</file>

<file path=xl/ctrlProps/ctrlProp170.xml><?xml version="1.0" encoding="utf-8"?>
<formControlPr xmlns="http://schemas.microsoft.com/office/spreadsheetml/2009/9/main" objectType="CheckBox" checked="Checked" fmlaLink="VarIncludeRows" lockText="1" noThreeD="1"/>
</file>

<file path=xl/ctrlProps/ctrlProp171.xml><?xml version="1.0" encoding="utf-8"?>
<formControlPr xmlns="http://schemas.microsoft.com/office/spreadsheetml/2009/9/main" objectType="CheckBox" fmlaLink="IFRSKeyFigures" lockText="1" noThreeD="1"/>
</file>

<file path=xl/ctrlProps/ctrlProp18.xml><?xml version="1.0" encoding="utf-8"?>
<formControlPr xmlns="http://schemas.microsoft.com/office/spreadsheetml/2009/9/main" objectType="Drop" dropLines="3" dropStyle="combo" dx="16" fmlaLink="IFRSDepr04" fmlaRange="BalDeprDD" noThreeD="1" sel="0" val="0"/>
</file>

<file path=xl/ctrlProps/ctrlProp19.xml><?xml version="1.0" encoding="utf-8"?>
<formControlPr xmlns="http://schemas.microsoft.com/office/spreadsheetml/2009/9/main" objectType="Drop" dropLines="13" dropStyle="combo" dx="16" fmlaLink="IFRSAlloc05" fmlaRange="IFRSallocDD" noThreeD="1" sel="0" val="0"/>
</file>

<file path=xl/ctrlProps/ctrlProp2.xml><?xml version="1.0" encoding="utf-8"?>
<formControlPr xmlns="http://schemas.microsoft.com/office/spreadsheetml/2009/9/main" objectType="Drop" dropLines="3" dropStyle="combo" dx="16" fmlaRange="BalDeprDD" noThreeD="1" sel="1" val="0"/>
</file>

<file path=xl/ctrlProps/ctrlProp20.xml><?xml version="1.0" encoding="utf-8"?>
<formControlPr xmlns="http://schemas.microsoft.com/office/spreadsheetml/2009/9/main" objectType="Drop" dropLines="3" dropStyle="combo" dx="16" fmlaLink="IFRSDepr05" fmlaRange="BalDeprDD" noThreeD="1" sel="0" val="0"/>
</file>

<file path=xl/ctrlProps/ctrlProp21.xml><?xml version="1.0" encoding="utf-8"?>
<formControlPr xmlns="http://schemas.microsoft.com/office/spreadsheetml/2009/9/main" objectType="Drop" dropLines="13" dropStyle="combo" dx="16" fmlaLink="IFRSAlloc06" fmlaRange="IFRSallocDD" noThreeD="1" sel="0" val="0"/>
</file>

<file path=xl/ctrlProps/ctrlProp22.xml><?xml version="1.0" encoding="utf-8"?>
<formControlPr xmlns="http://schemas.microsoft.com/office/spreadsheetml/2009/9/main" objectType="Drop" dropLines="3" dropStyle="combo" dx="16" fmlaLink="IFRSDepr06" fmlaRange="BalDeprDD" noThreeD="1" sel="0" val="0"/>
</file>

<file path=xl/ctrlProps/ctrlProp23.xml><?xml version="1.0" encoding="utf-8"?>
<formControlPr xmlns="http://schemas.microsoft.com/office/spreadsheetml/2009/9/main" objectType="Drop" dropLines="13" dropStyle="combo" dx="16" fmlaLink="IFRSAlloc07" fmlaRange="IFRSallocDD" noThreeD="1" sel="0" val="0"/>
</file>

<file path=xl/ctrlProps/ctrlProp24.xml><?xml version="1.0" encoding="utf-8"?>
<formControlPr xmlns="http://schemas.microsoft.com/office/spreadsheetml/2009/9/main" objectType="Drop" dropLines="3" dropStyle="combo" dx="16" fmlaLink="IFRSDepr07" fmlaRange="BalDeprDD" noThreeD="1" sel="0" val="0"/>
</file>

<file path=xl/ctrlProps/ctrlProp25.xml><?xml version="1.0" encoding="utf-8"?>
<formControlPr xmlns="http://schemas.microsoft.com/office/spreadsheetml/2009/9/main" objectType="Drop" dropLines="13" dropStyle="combo" dx="16" fmlaLink="IFRSAlloc08" fmlaRange="IFRSallocDD" noThreeD="1" sel="0" val="0"/>
</file>

<file path=xl/ctrlProps/ctrlProp26.xml><?xml version="1.0" encoding="utf-8"?>
<formControlPr xmlns="http://schemas.microsoft.com/office/spreadsheetml/2009/9/main" objectType="Drop" dropLines="3" dropStyle="combo" dx="16" fmlaLink="IFRSDepr08" fmlaRange="BalDeprDD" noThreeD="1" sel="0" val="0"/>
</file>

<file path=xl/ctrlProps/ctrlProp27.xml><?xml version="1.0" encoding="utf-8"?>
<formControlPr xmlns="http://schemas.microsoft.com/office/spreadsheetml/2009/9/main" objectType="Drop" dropLines="13" dropStyle="combo" dx="16" fmlaLink="IFRSAlloc09" fmlaRange="IFRSallocDD" noThreeD="1" sel="0" val="0"/>
</file>

<file path=xl/ctrlProps/ctrlProp28.xml><?xml version="1.0" encoding="utf-8"?>
<formControlPr xmlns="http://schemas.microsoft.com/office/spreadsheetml/2009/9/main" objectType="Drop" dropLines="3" dropStyle="combo" dx="16" fmlaLink="IFRSDepr09" fmlaRange="BalDeprDD" noThreeD="1" sel="0" val="0"/>
</file>

<file path=xl/ctrlProps/ctrlProp29.xml><?xml version="1.0" encoding="utf-8"?>
<formControlPr xmlns="http://schemas.microsoft.com/office/spreadsheetml/2009/9/main" objectType="Drop" dropLines="13" dropStyle="combo" dx="16" fmlaLink="IFRSAlloc10" fmlaRange="IFRSallocDD" noThreeD="1" sel="0" val="0"/>
</file>

<file path=xl/ctrlProps/ctrlProp3.xml><?xml version="1.0" encoding="utf-8"?>
<formControlPr xmlns="http://schemas.microsoft.com/office/spreadsheetml/2009/9/main" objectType="Drop" dropLines="3" dropStyle="combo" dx="16" fmlaLink="BalDepr12" fmlaRange="BalDeprDD" noThreeD="1" sel="1" val="0"/>
</file>

<file path=xl/ctrlProps/ctrlProp30.xml><?xml version="1.0" encoding="utf-8"?>
<formControlPr xmlns="http://schemas.microsoft.com/office/spreadsheetml/2009/9/main" objectType="Drop" dropLines="3" dropStyle="combo" dx="16" fmlaLink="IFRSDepr10" fmlaRange="BalDeprDD" noThreeD="1" sel="0" val="0"/>
</file>

<file path=xl/ctrlProps/ctrlProp31.xml><?xml version="1.0" encoding="utf-8"?>
<formControlPr xmlns="http://schemas.microsoft.com/office/spreadsheetml/2009/9/main" objectType="Drop" dropLines="13" dropStyle="combo" dx="16" fmlaLink="IFRSAlloc11" fmlaRange="IFRSallocDD" noThreeD="1" sel="0" val="0"/>
</file>

<file path=xl/ctrlProps/ctrlProp32.xml><?xml version="1.0" encoding="utf-8"?>
<formControlPr xmlns="http://schemas.microsoft.com/office/spreadsheetml/2009/9/main" objectType="Drop" dropLines="3" dropStyle="combo" dx="16" fmlaLink="IFRSDepr11" fmlaRange="BalDeprDD" noThreeD="1" sel="0" val="0"/>
</file>

<file path=xl/ctrlProps/ctrlProp33.xml><?xml version="1.0" encoding="utf-8"?>
<formControlPr xmlns="http://schemas.microsoft.com/office/spreadsheetml/2009/9/main" objectType="Drop" dropLines="13" dropStyle="combo" dx="16" fmlaLink="IFRSAlloc12" fmlaRange="IFRSallocDD" noThreeD="1" sel="0" val="0"/>
</file>

<file path=xl/ctrlProps/ctrlProp34.xml><?xml version="1.0" encoding="utf-8"?>
<formControlPr xmlns="http://schemas.microsoft.com/office/spreadsheetml/2009/9/main" objectType="Drop" dropLines="3" dropStyle="combo" dx="16" fmlaLink="IFRSDepr12" fmlaRange="BalDeprDD" noThreeD="1" sel="0" val="0"/>
</file>

<file path=xl/ctrlProps/ctrlProp35.xml><?xml version="1.0" encoding="utf-8"?>
<formControlPr xmlns="http://schemas.microsoft.com/office/spreadsheetml/2009/9/main" objectType="Drop" dropLines="3" dropStyle="combo" dx="16" fmlaRange="BalDeprDD" noThreeD="1" sel="1" val="0"/>
</file>

<file path=xl/ctrlProps/ctrlProp36.xml><?xml version="1.0" encoding="utf-8"?>
<formControlPr xmlns="http://schemas.microsoft.com/office/spreadsheetml/2009/9/main" objectType="Drop" dropLines="3" dropStyle="combo" dx="16" fmlaRange="BalDeprDD" noThreeD="1" sel="1" val="0"/>
</file>

<file path=xl/ctrlProps/ctrlProp37.xml><?xml version="1.0" encoding="utf-8"?>
<formControlPr xmlns="http://schemas.microsoft.com/office/spreadsheetml/2009/9/main" objectType="Drop" dropLines="3" dropStyle="combo" dx="16" fmlaRange="BalDeprDD" noThreeD="1" sel="1" val="0"/>
</file>

<file path=xl/ctrlProps/ctrlProp38.xml><?xml version="1.0" encoding="utf-8"?>
<formControlPr xmlns="http://schemas.microsoft.com/office/spreadsheetml/2009/9/main" objectType="Drop" dropLines="3" dropStyle="combo" dx="16" fmlaRange="BalDeprDD" noThreeD="1" sel="1" val="0"/>
</file>

<file path=xl/ctrlProps/ctrlProp39.xml><?xml version="1.0" encoding="utf-8"?>
<formControlPr xmlns="http://schemas.microsoft.com/office/spreadsheetml/2009/9/main" objectType="Drop" dropLines="3" dropStyle="combo" dx="16" fmlaRange="BalDeprDD" noThreeD="1" sel="1" val="0"/>
</file>

<file path=xl/ctrlProps/ctrlProp4.xml><?xml version="1.0" encoding="utf-8"?>
<formControlPr xmlns="http://schemas.microsoft.com/office/spreadsheetml/2009/9/main" objectType="Drop" dropLines="3" dropStyle="combo" dx="16" fmlaRange="BalDeprDD" noThreeD="1" sel="1" val="0"/>
</file>

<file path=xl/ctrlProps/ctrlProp40.xml><?xml version="1.0" encoding="utf-8"?>
<formControlPr xmlns="http://schemas.microsoft.com/office/spreadsheetml/2009/9/main" objectType="Drop" dropLines="3" dropStyle="combo" dx="16" fmlaLink="BalDepr09" fmlaRange="BalDeprDD" noThreeD="1" sel="1" val="0"/>
</file>

<file path=xl/ctrlProps/ctrlProp41.xml><?xml version="1.0" encoding="utf-8"?>
<formControlPr xmlns="http://schemas.microsoft.com/office/spreadsheetml/2009/9/main" objectType="Drop" dropLines="3" dropStyle="combo" dx="16" fmlaLink="BalDepr10" fmlaRange="BalDeprDD" noThreeD="1" sel="1" val="0"/>
</file>

<file path=xl/ctrlProps/ctrlProp42.xml><?xml version="1.0" encoding="utf-8"?>
<formControlPr xmlns="http://schemas.microsoft.com/office/spreadsheetml/2009/9/main" objectType="Drop" dropLines="3" dropStyle="combo" dx="16" fmlaLink="BalDepr11" fmlaRange="BalDeprDD" noThreeD="1" sel="1" val="0"/>
</file>

<file path=xl/ctrlProps/ctrlProp43.xml><?xml version="1.0" encoding="utf-8"?>
<formControlPr xmlns="http://schemas.microsoft.com/office/spreadsheetml/2009/9/main" objectType="Drop" dropLines="3" dropStyle="combo" dx="16" fmlaRange="BalDeprDD" noThreeD="1" sel="1" val="0"/>
</file>

<file path=xl/ctrlProps/ctrlProp44.xml><?xml version="1.0" encoding="utf-8"?>
<formControlPr xmlns="http://schemas.microsoft.com/office/spreadsheetml/2009/9/main" objectType="Drop" dropLines="6" dropStyle="combo" dx="16" fmlaRange="DetailLevels" noThreeD="1" sel="3" val="0"/>
</file>

<file path=xl/ctrlProps/ctrlProp45.xml><?xml version="1.0" encoding="utf-8"?>
<formControlPr xmlns="http://schemas.microsoft.com/office/spreadsheetml/2009/9/main" objectType="Drop" dropLines="3" dropStyle="combo" dx="16" fmlaRange="BalDeprDD" noThreeD="1" sel="1" val="0"/>
</file>

<file path=xl/ctrlProps/ctrlProp46.xml><?xml version="1.0" encoding="utf-8"?>
<formControlPr xmlns="http://schemas.microsoft.com/office/spreadsheetml/2009/9/main" objectType="CheckBox" fmlaLink="ElimGroupsInUse" lockText="1" noThreeD="1"/>
</file>

<file path=xl/ctrlProps/ctrlProp47.xml><?xml version="1.0" encoding="utf-8"?>
<formControlPr xmlns="http://schemas.microsoft.com/office/spreadsheetml/2009/9/main" objectType="CheckBox" checked="Checked" fmlaLink="ShowConclusions" lockText="1"/>
</file>

<file path=xl/ctrlProps/ctrlProp48.xml><?xml version="1.0" encoding="utf-8"?>
<formControlPr xmlns="http://schemas.microsoft.com/office/spreadsheetml/2009/9/main" objectType="Drop" dropStyle="combo" dx="16" fmlaLink="PerpetuityIndex" fmlaRange="FinYearsR" noThreeD="1" sel="6" val="0"/>
</file>

<file path=xl/ctrlProps/ctrlProp49.xml><?xml version="1.0" encoding="utf-8"?>
<formControlPr xmlns="http://schemas.microsoft.com/office/spreadsheetml/2009/9/main" objectType="Radio" checked="Checked" firstButton="1" fmlaLink="PerpetuityEnter" lockText="1" noThreeD="1"/>
</file>

<file path=xl/ctrlProps/ctrlProp5.xml><?xml version="1.0" encoding="utf-8"?>
<formControlPr xmlns="http://schemas.microsoft.com/office/spreadsheetml/2009/9/main" objectType="Drop" dropLines="6" dropStyle="combo" dx="16" fmlaRange="DetailLevels" noThreeD="1" sel="4" val="0"/>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checked="Checked" firstButton="1" fmlaLink="PerpetuityGrowing"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Drop" dropStyle="combo" dx="16" fmlaLink="PerpetuityIndexEquity" fmlaRange="FinYearsR" noThreeD="1" sel="6" val="0"/>
</file>

<file path=xl/ctrlProps/ctrlProp56.xml><?xml version="1.0" encoding="utf-8"?>
<formControlPr xmlns="http://schemas.microsoft.com/office/spreadsheetml/2009/9/main" objectType="Radio" checked="Checked" firstButton="1" fmlaLink="PerpetuityEnterEquity"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firstButton="1" fmlaLink="PerpetuityGrowingEquity"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Drop" dropLines="6" dropStyle="combo" dx="16" fmlaRange="DetailLevels" noThreeD="1" sel="4" val="0"/>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Drop" dropLines="11" dropStyle="combo" dx="16" fmlaLink="PerpetuityLimitation" fmlaRange="PerpetuityLimitList" noThreeD="1" sel="1" val="0"/>
</file>

<file path=xl/ctrlProps/ctrlProp63.xml><?xml version="1.0" encoding="utf-8"?>
<formControlPr xmlns="http://schemas.microsoft.com/office/spreadsheetml/2009/9/main" objectType="Drop" dropLines="11" dropStyle="combo" dx="16" fmlaLink="PerpetuityLimitation" fmlaRange="PerpetuityLimitList" noThreeD="1" sel="1" val="0"/>
</file>

<file path=xl/ctrlProps/ctrlProp64.xml><?xml version="1.0" encoding="utf-8"?>
<formControlPr xmlns="http://schemas.microsoft.com/office/spreadsheetml/2009/9/main" objectType="Drop" dropLines="15" dropStyle="combo" dx="16" fmlaLink="EbitdaIndex" fmlaRange="FinYearsH" noThreeD="1" sel="1" val="0"/>
</file>

<file path=xl/ctrlProps/ctrlProp65.xml><?xml version="1.0" encoding="utf-8"?>
<formControlPr xmlns="http://schemas.microsoft.com/office/spreadsheetml/2009/9/main" objectType="Drop" dropLines="40" dropStyle="combo" dx="16" fmlaLink="IncVar1" fmlaRange="VarList01" noThreeD="1" sel="9" val="0"/>
</file>

<file path=xl/ctrlProps/ctrlProp66.xml><?xml version="1.0" encoding="utf-8"?>
<formControlPr xmlns="http://schemas.microsoft.com/office/spreadsheetml/2009/9/main" objectType="Drop" dropLines="21" dropStyle="combo" dx="16" fmlaRange="ColHeadersR" noThreeD="1" sel="2" val="0"/>
</file>

<file path=xl/ctrlProps/ctrlProp67.xml><?xml version="1.0" encoding="utf-8"?>
<formControlPr xmlns="http://schemas.microsoft.com/office/spreadsheetml/2009/9/main" objectType="Drop" dropLines="11" dropStyle="combo" dx="16" fmlaLink="FinYearRIndex01" fmlaRange="FinYearsR" noThreeD="1" sel="1" val="0"/>
</file>

<file path=xl/ctrlProps/ctrlProp68.xml><?xml version="1.0" encoding="utf-8"?>
<formControlPr xmlns="http://schemas.microsoft.com/office/spreadsheetml/2009/9/main" objectType="Drop" dropStyle="combo" dx="16" fmlaLink="FinYearRIndex05" fmlaRange="FinYearsR" noThreeD="1" sel="1" val="0"/>
</file>

<file path=xl/ctrlProps/ctrlProp69.xml><?xml version="1.0" encoding="utf-8"?>
<formControlPr xmlns="http://schemas.microsoft.com/office/spreadsheetml/2009/9/main" objectType="Drop" dropLines="11" dropStyle="combo" dx="16" fmlaLink="FinYearRIndex02" fmlaRange="FinYearsR" noThreeD="1" sel="1" val="0"/>
</file>

<file path=xl/ctrlProps/ctrlProp7.xml><?xml version="1.0" encoding="utf-8"?>
<formControlPr xmlns="http://schemas.microsoft.com/office/spreadsheetml/2009/9/main" objectType="Drop" dropLines="6" dropStyle="combo" dx="16" fmlaRange="DetailLevels" noThreeD="1" sel="3" val="0"/>
</file>

<file path=xl/ctrlProps/ctrlProp70.xml><?xml version="1.0" encoding="utf-8"?>
<formControlPr xmlns="http://schemas.microsoft.com/office/spreadsheetml/2009/9/main" objectType="Drop" dropStyle="combo" dx="16" fmlaLink="FinYearRIndex03" fmlaRange="FinYearsR" noThreeD="1" sel="1" val="0"/>
</file>

<file path=xl/ctrlProps/ctrlProp71.xml><?xml version="1.0" encoding="utf-8"?>
<formControlPr xmlns="http://schemas.microsoft.com/office/spreadsheetml/2009/9/main" objectType="Drop" dropStyle="combo" dx="16" fmlaLink="AFactor" fmlaRange="AFactorList" noThreeD="1" sel="1" val="0"/>
</file>

<file path=xl/ctrlProps/ctrlProp72.xml><?xml version="1.0" encoding="utf-8"?>
<formControlPr xmlns="http://schemas.microsoft.com/office/spreadsheetml/2009/9/main" objectType="Drop" dropStyle="combo" dx="16" fmlaLink="AFactor" fmlaRange="AFactorList" noThreeD="1" sel="1" val="0"/>
</file>

<file path=xl/ctrlProps/ctrlProp73.xml><?xml version="1.0" encoding="utf-8"?>
<formControlPr xmlns="http://schemas.microsoft.com/office/spreadsheetml/2009/9/main" objectType="Drop" dropStyle="combo" dx="16" fmlaLink="AFactor" fmlaRange="AFactorList" noThreeD="1" sel="1" val="0"/>
</file>

<file path=xl/ctrlProps/ctrlProp74.xml><?xml version="1.0" encoding="utf-8"?>
<formControlPr xmlns="http://schemas.microsoft.com/office/spreadsheetml/2009/9/main" objectType="Drop" dropStyle="combo" dx="16" fmlaLink="FinYearRIndex04" fmlaRange="FinYearsR" noThreeD="1" sel="1" val="0"/>
</file>

<file path=xl/ctrlProps/ctrlProp75.xml><?xml version="1.0" encoding="utf-8"?>
<formControlPr xmlns="http://schemas.microsoft.com/office/spreadsheetml/2009/9/main" objectType="Drop" dropStyle="combo" dx="16" fmlaLink="AFactor" fmlaRange="AFactorList" noThreeD="1" sel="1" val="0"/>
</file>

<file path=xl/ctrlProps/ctrlProp76.xml><?xml version="1.0" encoding="utf-8"?>
<formControlPr xmlns="http://schemas.microsoft.com/office/spreadsheetml/2009/9/main" objectType="Drop" dropStyle="combo" dx="16" fmlaLink="AFactor" fmlaRange="AFactorList" noThreeD="1" sel="1" val="0"/>
</file>

<file path=xl/ctrlProps/ctrlProp77.xml><?xml version="1.0" encoding="utf-8"?>
<formControlPr xmlns="http://schemas.microsoft.com/office/spreadsheetml/2009/9/main" objectType="Drop" dropLines="5" dropStyle="combo" dx="16" fmlaLink="AFactor2" fmlaRange="AFactorList2" noThreeD="1" sel="1" val="0"/>
</file>

<file path=xl/ctrlProps/ctrlProp78.xml><?xml version="1.0" encoding="utf-8"?>
<formControlPr xmlns="http://schemas.microsoft.com/office/spreadsheetml/2009/9/main" objectType="Drop" dropLines="11" dropStyle="combo" dx="16" fmlaLink="Analysis01Ratio01" fmlaRange="RatiosDD" noThreeD="1" sel="1" val="0"/>
</file>

<file path=xl/ctrlProps/ctrlProp79.xml><?xml version="1.0" encoding="utf-8"?>
<formControlPr xmlns="http://schemas.microsoft.com/office/spreadsheetml/2009/9/main" objectType="Drop" dropLines="11" dropStyle="combo" dx="16" fmlaLink="Analysis01Ratio02" fmlaRange="RatiosDD" noThreeD="1" sel="2" val="0"/>
</file>

<file path=xl/ctrlProps/ctrlProp8.xml><?xml version="1.0" encoding="utf-8"?>
<formControlPr xmlns="http://schemas.microsoft.com/office/spreadsheetml/2009/9/main" objectType="Drop" dropLines="6" dropStyle="combo" dx="16" fmlaRange="DetailLevels" noThreeD="1" sel="3" val="0"/>
</file>

<file path=xl/ctrlProps/ctrlProp80.xml><?xml version="1.0" encoding="utf-8"?>
<formControlPr xmlns="http://schemas.microsoft.com/office/spreadsheetml/2009/9/main" objectType="Drop" dropLines="11" dropStyle="combo" dx="16" fmlaLink="Analysis01Ratio03" fmlaRange="RatiosDD" noThreeD="1" sel="3" val="0"/>
</file>

<file path=xl/ctrlProps/ctrlProp81.xml><?xml version="1.0" encoding="utf-8"?>
<formControlPr xmlns="http://schemas.microsoft.com/office/spreadsheetml/2009/9/main" objectType="Drop" dropLines="11" dropStyle="combo" dx="16" fmlaLink="Analysis01Ratio04" fmlaRange="RatiosDD" noThreeD="1" sel="4" val="0"/>
</file>

<file path=xl/ctrlProps/ctrlProp82.xml><?xml version="1.0" encoding="utf-8"?>
<formControlPr xmlns="http://schemas.microsoft.com/office/spreadsheetml/2009/9/main" objectType="Drop" dropLines="11" dropStyle="combo" dx="16" fmlaLink="Analysis01Ratio05" fmlaRange="RatiosDD" noThreeD="1" sel="5" val="0"/>
</file>

<file path=xl/ctrlProps/ctrlProp83.xml><?xml version="1.0" encoding="utf-8"?>
<formControlPr xmlns="http://schemas.microsoft.com/office/spreadsheetml/2009/9/main" objectType="Drop" dropLines="11" dropStyle="combo" dx="16" fmlaLink="Analysis01Ratio06" fmlaRange="RatiosDD" noThreeD="1" sel="6" val="0"/>
</file>

<file path=xl/ctrlProps/ctrlProp84.xml><?xml version="1.0" encoding="utf-8"?>
<formControlPr xmlns="http://schemas.microsoft.com/office/spreadsheetml/2009/9/main" objectType="Drop" dropLines="11" dropStyle="combo" dx="16" fmlaLink="Analysis02Ratio01" fmlaRange="RatiosDD" noThreeD="1" sel="1" val="0"/>
</file>

<file path=xl/ctrlProps/ctrlProp85.xml><?xml version="1.0" encoding="utf-8"?>
<formControlPr xmlns="http://schemas.microsoft.com/office/spreadsheetml/2009/9/main" objectType="Drop" dropLines="11" dropStyle="combo" dx="16" fmlaLink="Analysis02Ratio02" fmlaRange="RatiosDD" noThreeD="1" sel="2" val="0"/>
</file>

<file path=xl/ctrlProps/ctrlProp86.xml><?xml version="1.0" encoding="utf-8"?>
<formControlPr xmlns="http://schemas.microsoft.com/office/spreadsheetml/2009/9/main" objectType="Drop" dropLines="11" dropStyle="combo" dx="16" fmlaLink="Analysis02Ratio03" fmlaRange="RatiosDD" noThreeD="1" sel="3" val="0"/>
</file>

<file path=xl/ctrlProps/ctrlProp87.xml><?xml version="1.0" encoding="utf-8"?>
<formControlPr xmlns="http://schemas.microsoft.com/office/spreadsheetml/2009/9/main" objectType="Drop" dropLines="11" dropStyle="combo" dx="16" fmlaLink="Analysis02Ratio04" fmlaRange="RatiosDD" noThreeD="1" sel="4" val="0"/>
</file>

<file path=xl/ctrlProps/ctrlProp88.xml><?xml version="1.0" encoding="utf-8"?>
<formControlPr xmlns="http://schemas.microsoft.com/office/spreadsheetml/2009/9/main" objectType="Drop" dropLines="11" dropStyle="combo" dx="16" fmlaLink="Analysis02Ratio05" fmlaRange="RatiosDD" noThreeD="1" sel="5" val="0"/>
</file>

<file path=xl/ctrlProps/ctrlProp89.xml><?xml version="1.0" encoding="utf-8"?>
<formControlPr xmlns="http://schemas.microsoft.com/office/spreadsheetml/2009/9/main" objectType="Drop" dropLines="11" dropStyle="combo" dx="16" fmlaLink="Analysis02Ratio06" fmlaRange="RatiosDD" noThreeD="1" sel="6" val="0"/>
</file>

<file path=xl/ctrlProps/ctrlProp9.xml><?xml version="1.0" encoding="utf-8"?>
<formControlPr xmlns="http://schemas.microsoft.com/office/spreadsheetml/2009/9/main" objectType="Drop" dropLines="6" dropStyle="combo" dx="16" fmlaRange="DetailLevels" noThreeD="1" sel="3" val="0"/>
</file>

<file path=xl/ctrlProps/ctrlProp90.xml><?xml version="1.0" encoding="utf-8"?>
<formControlPr xmlns="http://schemas.microsoft.com/office/spreadsheetml/2009/9/main" objectType="Drop" dropLines="11" dropStyle="combo" dx="16" fmlaLink="Analysis03Ratio01" fmlaRange="RatiosDD" noThreeD="1" sel="1" val="0"/>
</file>

<file path=xl/ctrlProps/ctrlProp91.xml><?xml version="1.0" encoding="utf-8"?>
<formControlPr xmlns="http://schemas.microsoft.com/office/spreadsheetml/2009/9/main" objectType="Drop" dropLines="11" dropStyle="combo" dx="16" fmlaLink="Analysis03Ratio02" fmlaRange="RatiosDD" noThreeD="1" sel="2" val="0"/>
</file>

<file path=xl/ctrlProps/ctrlProp92.xml><?xml version="1.0" encoding="utf-8"?>
<formControlPr xmlns="http://schemas.microsoft.com/office/spreadsheetml/2009/9/main" objectType="Drop" dropLines="11" dropStyle="combo" dx="16" fmlaLink="Analysis03Ratio03" fmlaRange="RatiosDD" noThreeD="1" sel="3" val="0"/>
</file>

<file path=xl/ctrlProps/ctrlProp93.xml><?xml version="1.0" encoding="utf-8"?>
<formControlPr xmlns="http://schemas.microsoft.com/office/spreadsheetml/2009/9/main" objectType="Drop" dropLines="11" dropStyle="combo" dx="16" fmlaLink="Analysis03Ratio04" fmlaRange="RatiosDD" noThreeD="1" sel="4" val="0"/>
</file>

<file path=xl/ctrlProps/ctrlProp94.xml><?xml version="1.0" encoding="utf-8"?>
<formControlPr xmlns="http://schemas.microsoft.com/office/spreadsheetml/2009/9/main" objectType="Drop" dropLines="11" dropStyle="combo" dx="16" fmlaLink="Analysis03Ratio05" fmlaRange="RatiosDD" noThreeD="1" sel="5" val="0"/>
</file>

<file path=xl/ctrlProps/ctrlProp95.xml><?xml version="1.0" encoding="utf-8"?>
<formControlPr xmlns="http://schemas.microsoft.com/office/spreadsheetml/2009/9/main" objectType="Drop" dropLines="11" dropStyle="combo" dx="16" fmlaLink="Analysis03Ratio06" fmlaRange="RatiosDD" noThreeD="1" sel="6" val="0"/>
</file>

<file path=xl/ctrlProps/ctrlProp96.xml><?xml version="1.0" encoding="utf-8"?>
<formControlPr xmlns="http://schemas.microsoft.com/office/spreadsheetml/2009/9/main" objectType="Drop" dropLines="11" dropStyle="combo" dx="16" fmlaLink="Analysis04Ratio01" fmlaRange="RatiosDD" noThreeD="1" sel="1" val="0"/>
</file>

<file path=xl/ctrlProps/ctrlProp97.xml><?xml version="1.0" encoding="utf-8"?>
<formControlPr xmlns="http://schemas.microsoft.com/office/spreadsheetml/2009/9/main" objectType="Drop" dropLines="11" dropStyle="combo" dx="16" fmlaLink="Analysis04Ratio02" fmlaRange="RatiosDD" noThreeD="1" sel="2" val="0"/>
</file>

<file path=xl/ctrlProps/ctrlProp98.xml><?xml version="1.0" encoding="utf-8"?>
<formControlPr xmlns="http://schemas.microsoft.com/office/spreadsheetml/2009/9/main" objectType="Drop" dropLines="11" dropStyle="combo" dx="16" fmlaLink="Analysis04Ratio03" fmlaRange="RatiosDD" noThreeD="1" sel="3" val="0"/>
</file>

<file path=xl/ctrlProps/ctrlProp99.xml><?xml version="1.0" encoding="utf-8"?>
<formControlPr xmlns="http://schemas.microsoft.com/office/spreadsheetml/2009/9/main" objectType="Drop" dropLines="11" dropStyle="combo" dx="16" fmlaLink="Analysis04Ratio04" fmlaRange="RatiosDD" noThreeD="1" sel="4"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26" Type="http://schemas.openxmlformats.org/officeDocument/2006/relationships/image" Target="../media/image33.png"/><Relationship Id="rId3" Type="http://schemas.openxmlformats.org/officeDocument/2006/relationships/image" Target="../media/image15.png"/><Relationship Id="rId21" Type="http://schemas.openxmlformats.org/officeDocument/2006/relationships/image" Target="../media/image9.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12.png"/><Relationship Id="rId2" Type="http://schemas.openxmlformats.org/officeDocument/2006/relationships/image" Target="../media/image14.png"/><Relationship Id="rId16" Type="http://schemas.openxmlformats.org/officeDocument/2006/relationships/image" Target="../media/image28.png"/><Relationship Id="rId20" Type="http://schemas.openxmlformats.org/officeDocument/2006/relationships/image" Target="../media/image6.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32.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11.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10.png"/><Relationship Id="rId27" Type="http://schemas.openxmlformats.org/officeDocument/2006/relationships/image" Target="../media/image3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5.png"/><Relationship Id="rId1" Type="http://schemas.openxmlformats.org/officeDocument/2006/relationships/image" Target="../media/image18.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44.png"/><Relationship Id="rId18" Type="http://schemas.openxmlformats.org/officeDocument/2006/relationships/image" Target="../media/image10.png"/><Relationship Id="rId3" Type="http://schemas.openxmlformats.org/officeDocument/2006/relationships/image" Target="../media/image38.png"/><Relationship Id="rId21" Type="http://schemas.openxmlformats.org/officeDocument/2006/relationships/image" Target="../media/image45.png"/><Relationship Id="rId7" Type="http://schemas.openxmlformats.org/officeDocument/2006/relationships/image" Target="../media/image42.png"/><Relationship Id="rId12" Type="http://schemas.openxmlformats.org/officeDocument/2006/relationships/image" Target="../media/image43.png"/><Relationship Id="rId17" Type="http://schemas.openxmlformats.org/officeDocument/2006/relationships/image" Target="../media/image9.png"/><Relationship Id="rId2" Type="http://schemas.openxmlformats.org/officeDocument/2006/relationships/image" Target="../media/image37.png"/><Relationship Id="rId16" Type="http://schemas.openxmlformats.org/officeDocument/2006/relationships/image" Target="../media/image6.png"/><Relationship Id="rId20" Type="http://schemas.openxmlformats.org/officeDocument/2006/relationships/image" Target="../media/image12.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27.png"/><Relationship Id="rId5" Type="http://schemas.openxmlformats.org/officeDocument/2006/relationships/image" Target="../media/image40.png"/><Relationship Id="rId15" Type="http://schemas.openxmlformats.org/officeDocument/2006/relationships/image" Target="../media/image5.png"/><Relationship Id="rId10" Type="http://schemas.openxmlformats.org/officeDocument/2006/relationships/image" Target="../media/image21.png"/><Relationship Id="rId19" Type="http://schemas.openxmlformats.org/officeDocument/2006/relationships/image" Target="../media/image11.png"/><Relationship Id="rId4" Type="http://schemas.openxmlformats.org/officeDocument/2006/relationships/image" Target="../media/image39.png"/><Relationship Id="rId9" Type="http://schemas.openxmlformats.org/officeDocument/2006/relationships/image" Target="../media/image23.png"/><Relationship Id="rId14" Type="http://schemas.openxmlformats.org/officeDocument/2006/relationships/chart" Target="../charts/chart1.xml"/><Relationship Id="rId22" Type="http://schemas.openxmlformats.org/officeDocument/2006/relationships/image" Target="../media/image46.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6.png"/><Relationship Id="rId18" Type="http://schemas.openxmlformats.org/officeDocument/2006/relationships/image" Target="../media/image47.png"/><Relationship Id="rId3" Type="http://schemas.openxmlformats.org/officeDocument/2006/relationships/chart" Target="../charts/chart4.xml"/><Relationship Id="rId7" Type="http://schemas.openxmlformats.org/officeDocument/2006/relationships/image" Target="../media/image5.png"/><Relationship Id="rId12" Type="http://schemas.openxmlformats.org/officeDocument/2006/relationships/chart" Target="../charts/chart12.xml"/><Relationship Id="rId17" Type="http://schemas.openxmlformats.org/officeDocument/2006/relationships/image" Target="../media/image12.png"/><Relationship Id="rId2" Type="http://schemas.openxmlformats.org/officeDocument/2006/relationships/chart" Target="../charts/chart3.xml"/><Relationship Id="rId16" Type="http://schemas.openxmlformats.org/officeDocument/2006/relationships/image" Target="../media/image11.png"/><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1.xml"/><Relationship Id="rId5" Type="http://schemas.openxmlformats.org/officeDocument/2006/relationships/chart" Target="../charts/chart6.xml"/><Relationship Id="rId15" Type="http://schemas.openxmlformats.org/officeDocument/2006/relationships/image" Target="../media/image10.png"/><Relationship Id="rId10" Type="http://schemas.openxmlformats.org/officeDocument/2006/relationships/chart" Target="../charts/chart10.xml"/><Relationship Id="rId4" Type="http://schemas.openxmlformats.org/officeDocument/2006/relationships/chart" Target="../charts/chart5.xml"/><Relationship Id="rId9" Type="http://schemas.openxmlformats.org/officeDocument/2006/relationships/chart" Target="../charts/chart9.xml"/><Relationship Id="rId1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31.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701675</xdr:colOff>
      <xdr:row>6</xdr:row>
      <xdr:rowOff>0</xdr:rowOff>
    </xdr:from>
    <xdr:to>
      <xdr:col>4</xdr:col>
      <xdr:colOff>882650</xdr:colOff>
      <xdr:row>6</xdr:row>
      <xdr:rowOff>171450</xdr:rowOff>
    </xdr:to>
    <xdr:pic macro="[0]!InvTimeChange">
      <xdr:nvPicPr>
        <xdr:cNvPr id="11" name="TimeBtn" descr="timebtn">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006725" y="711200"/>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20</xdr:row>
      <xdr:rowOff>7144</xdr:rowOff>
    </xdr:from>
    <xdr:to>
      <xdr:col>4</xdr:col>
      <xdr:colOff>882650</xdr:colOff>
      <xdr:row>21</xdr:row>
      <xdr:rowOff>794</xdr:rowOff>
    </xdr:to>
    <xdr:pic macro="[0]!ChangeCurrency">
      <xdr:nvPicPr>
        <xdr:cNvPr id="12" name="CurrencyBtn" descr="currencybtn">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r:embed="rId2" cstate="print"/>
        <a:srcRect/>
        <a:stretch>
          <a:fillRect/>
        </a:stretch>
      </xdr:blipFill>
      <xdr:spPr bwMode="auto">
        <a:xfrm>
          <a:off x="3006725" y="2718594"/>
          <a:ext cx="180975" cy="171450"/>
        </a:xfrm>
        <a:prstGeom prst="rect">
          <a:avLst/>
        </a:prstGeom>
        <a:noFill/>
        <a:ln w="9525">
          <a:noFill/>
          <a:miter lim="800000"/>
          <a:headEnd/>
          <a:tailEnd/>
        </a:ln>
      </xdr:spPr>
    </xdr:pic>
    <xdr:clientData fPrintsWithSheet="0"/>
  </xdr:twoCellAnchor>
  <xdr:twoCellAnchor editAs="oneCell">
    <xdr:from>
      <xdr:col>3</xdr:col>
      <xdr:colOff>1400175</xdr:colOff>
      <xdr:row>54</xdr:row>
      <xdr:rowOff>158749</xdr:rowOff>
    </xdr:from>
    <xdr:to>
      <xdr:col>3</xdr:col>
      <xdr:colOff>1581150</xdr:colOff>
      <xdr:row>56</xdr:row>
      <xdr:rowOff>12699</xdr:rowOff>
    </xdr:to>
    <xdr:pic macro="[0]!AutoVBA.LockInvDate">
      <xdr:nvPicPr>
        <xdr:cNvPr id="13" name="DateBtn" descr="datebtn">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r:embed="rId3" cstate="print"/>
        <a:srcRect/>
        <a:stretch>
          <a:fillRect/>
        </a:stretch>
      </xdr:blipFill>
      <xdr:spPr bwMode="auto">
        <a:xfrm>
          <a:off x="2117725" y="5854699"/>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29</xdr:row>
      <xdr:rowOff>6350</xdr:rowOff>
    </xdr:from>
    <xdr:to>
      <xdr:col>4</xdr:col>
      <xdr:colOff>882650</xdr:colOff>
      <xdr:row>30</xdr:row>
      <xdr:rowOff>0</xdr:rowOff>
    </xdr:to>
    <xdr:pic macro="[0]!TaxOptions">
      <xdr:nvPicPr>
        <xdr:cNvPr id="15" name="TaxBtn">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r:embed="rId4" cstate="print"/>
        <a:srcRect/>
        <a:stretch>
          <a:fillRect/>
        </a:stretch>
      </xdr:blipFill>
      <xdr:spPr bwMode="auto">
        <a:xfrm>
          <a:off x="3006725" y="3594100"/>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22</xdr:row>
      <xdr:rowOff>6350</xdr:rowOff>
    </xdr:from>
    <xdr:to>
      <xdr:col>4</xdr:col>
      <xdr:colOff>882650</xdr:colOff>
      <xdr:row>23</xdr:row>
      <xdr:rowOff>0</xdr:rowOff>
    </xdr:to>
    <xdr:pic macro="[0]!DiscountRateButtonPressed">
      <xdr:nvPicPr>
        <xdr:cNvPr id="16" name="btnEnterVarDiscRate" descr="timebtn">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006725" y="2984500"/>
          <a:ext cx="180975" cy="171450"/>
        </a:xfrm>
        <a:prstGeom prst="rect">
          <a:avLst/>
        </a:prstGeom>
        <a:noFill/>
        <a:ln w="9525">
          <a:noFill/>
          <a:miter lim="800000"/>
          <a:headEnd/>
          <a:tailEnd/>
        </a:ln>
      </xdr:spPr>
    </xdr:pic>
    <xdr:clientData fPrintsWithSheet="0"/>
  </xdr:twoCellAnchor>
  <xdr:twoCellAnchor editAs="absolute">
    <xdr:from>
      <xdr:col>0</xdr:col>
      <xdr:colOff>47625</xdr:colOff>
      <xdr:row>13</xdr:row>
      <xdr:rowOff>28575</xdr:rowOff>
    </xdr:from>
    <xdr:to>
      <xdr:col>0</xdr:col>
      <xdr:colOff>409575</xdr:colOff>
      <xdr:row>15</xdr:row>
      <xdr:rowOff>85725</xdr:rowOff>
    </xdr:to>
    <xdr:pic macro="[0]!CameraButtonPressed">
      <xdr:nvPicPr>
        <xdr:cNvPr id="17" name="btnCamBasicValues" descr="CameraBtn.bmp">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5" cstate="print"/>
        <a:stretch>
          <a:fillRect/>
        </a:stretch>
      </xdr:blipFill>
      <xdr:spPr>
        <a:xfrm>
          <a:off x="47625" y="1704975"/>
          <a:ext cx="361950" cy="266700"/>
        </a:xfrm>
        <a:prstGeom prst="rect">
          <a:avLst/>
        </a:prstGeom>
      </xdr:spPr>
    </xdr:pic>
    <xdr:clientData fPrintsWithSheet="0"/>
  </xdr:twoCellAnchor>
  <xdr:twoCellAnchor editAs="oneCell">
    <xdr:from>
      <xdr:col>0</xdr:col>
      <xdr:colOff>47625</xdr:colOff>
      <xdr:row>54</xdr:row>
      <xdr:rowOff>0</xdr:rowOff>
    </xdr:from>
    <xdr:to>
      <xdr:col>0</xdr:col>
      <xdr:colOff>409575</xdr:colOff>
      <xdr:row>55</xdr:row>
      <xdr:rowOff>104775</xdr:rowOff>
    </xdr:to>
    <xdr:pic macro="[0]!CameraButtonPressed">
      <xdr:nvPicPr>
        <xdr:cNvPr id="18" name="btnCamContactInfo" descr="CameraBtn.bmp">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cstate="print"/>
        <a:stretch>
          <a:fillRect/>
        </a:stretch>
      </xdr:blipFill>
      <xdr:spPr>
        <a:xfrm>
          <a:off x="47625" y="5067300"/>
          <a:ext cx="361950" cy="266700"/>
        </a:xfrm>
        <a:prstGeom prst="rect">
          <a:avLst/>
        </a:prstGeom>
      </xdr:spPr>
    </xdr:pic>
    <xdr:clientData fPrintsWithSheet="0"/>
  </xdr:twoCellAnchor>
  <xdr:twoCellAnchor editAs="absolute">
    <xdr:from>
      <xdr:col>0</xdr:col>
      <xdr:colOff>47625</xdr:colOff>
      <xdr:row>2</xdr:row>
      <xdr:rowOff>28578</xdr:rowOff>
    </xdr:from>
    <xdr:to>
      <xdr:col>0</xdr:col>
      <xdr:colOff>406586</xdr:colOff>
      <xdr:row>3</xdr:row>
      <xdr:rowOff>102576</xdr:rowOff>
    </xdr:to>
    <xdr:pic macro="[0]!AutoVBA.PrintCurrent">
      <xdr:nvPicPr>
        <xdr:cNvPr id="19" name="PrintBtn03" descr="printbtn37.bmp">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print"/>
        <a:stretch>
          <a:fillRect/>
        </a:stretch>
      </xdr:blipFill>
      <xdr:spPr>
        <a:xfrm>
          <a:off x="47625" y="142878"/>
          <a:ext cx="358961" cy="264498"/>
        </a:xfrm>
        <a:prstGeom prst="rect">
          <a:avLst/>
        </a:prstGeom>
      </xdr:spPr>
    </xdr:pic>
    <xdr:clientData fPrintsWithSheet="0"/>
  </xdr:twoCellAnchor>
  <xdr:twoCellAnchor editAs="absolute">
    <xdr:from>
      <xdr:col>0</xdr:col>
      <xdr:colOff>47625</xdr:colOff>
      <xdr:row>9</xdr:row>
      <xdr:rowOff>19050</xdr:rowOff>
    </xdr:from>
    <xdr:to>
      <xdr:col>0</xdr:col>
      <xdr:colOff>406586</xdr:colOff>
      <xdr:row>11</xdr:row>
      <xdr:rowOff>9706</xdr:rowOff>
    </xdr:to>
    <xdr:pic macro="[0]!GoHome">
      <xdr:nvPicPr>
        <xdr:cNvPr id="23" name="HomeBtn03" descr="homebtn37.bmp">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7" cstate="print"/>
        <a:stretch>
          <a:fillRect/>
        </a:stretch>
      </xdr:blipFill>
      <xdr:spPr>
        <a:xfrm>
          <a:off x="47625" y="1076325"/>
          <a:ext cx="358961" cy="266881"/>
        </a:xfrm>
        <a:prstGeom prst="rect">
          <a:avLst/>
        </a:prstGeom>
      </xdr:spPr>
    </xdr:pic>
    <xdr:clientData fPrintsWithSheet="0"/>
  </xdr:twoCellAnchor>
  <xdr:twoCellAnchor editAs="absolute">
    <xdr:from>
      <xdr:col>0</xdr:col>
      <xdr:colOff>47625</xdr:colOff>
      <xdr:row>4</xdr:row>
      <xdr:rowOff>38101</xdr:rowOff>
    </xdr:from>
    <xdr:to>
      <xdr:col>0</xdr:col>
      <xdr:colOff>405085</xdr:colOff>
      <xdr:row>6</xdr:row>
      <xdr:rowOff>19050</xdr:rowOff>
    </xdr:to>
    <xdr:pic macro="[0]!LockInvFile">
      <xdr:nvPicPr>
        <xdr:cNvPr id="33" name="btnLockFile" descr="lockbutton37.bmp">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8" cstate="print"/>
        <a:stretch>
          <a:fillRect/>
        </a:stretch>
      </xdr:blipFill>
      <xdr:spPr>
        <a:xfrm>
          <a:off x="47625" y="457201"/>
          <a:ext cx="357460" cy="257174"/>
        </a:xfrm>
        <a:prstGeom prst="rect">
          <a:avLst/>
        </a:prstGeom>
      </xdr:spPr>
    </xdr:pic>
    <xdr:clientData fPrintsWithSheet="0"/>
  </xdr:twoCellAnchor>
  <xdr:twoCellAnchor editAs="oneCell">
    <xdr:from>
      <xdr:col>0</xdr:col>
      <xdr:colOff>47625</xdr:colOff>
      <xdr:row>46</xdr:row>
      <xdr:rowOff>40483</xdr:rowOff>
    </xdr:from>
    <xdr:to>
      <xdr:col>0</xdr:col>
      <xdr:colOff>406586</xdr:colOff>
      <xdr:row>47</xdr:row>
      <xdr:rowOff>143056</xdr:rowOff>
    </xdr:to>
    <xdr:pic macro="[0]!AutoVBA.GotoBasicValues">
      <xdr:nvPicPr>
        <xdr:cNvPr id="34" name="PrevBtn04" descr="prevbtn37c.bmp">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9" cstate="print"/>
        <a:stretch>
          <a:fillRect/>
        </a:stretch>
      </xdr:blipFill>
      <xdr:spPr>
        <a:xfrm>
          <a:off x="47625" y="3812383"/>
          <a:ext cx="358961" cy="264498"/>
        </a:xfrm>
        <a:prstGeom prst="rect">
          <a:avLst/>
        </a:prstGeom>
      </xdr:spPr>
    </xdr:pic>
    <xdr:clientData fPrintsWithSheet="0"/>
  </xdr:twoCellAnchor>
  <xdr:twoCellAnchor editAs="oneCell">
    <xdr:from>
      <xdr:col>0</xdr:col>
      <xdr:colOff>47625</xdr:colOff>
      <xdr:row>44</xdr:row>
      <xdr:rowOff>28575</xdr:rowOff>
    </xdr:from>
    <xdr:to>
      <xdr:col>0</xdr:col>
      <xdr:colOff>406586</xdr:colOff>
      <xdr:row>45</xdr:row>
      <xdr:rowOff>102573</xdr:rowOff>
    </xdr:to>
    <xdr:pic macro="[0]!AutoVBA.PrintCurrent">
      <xdr:nvPicPr>
        <xdr:cNvPr id="36" name="PrintBtn04" descr="printbtn37.bmp">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6" cstate="print"/>
        <a:stretch>
          <a:fillRect/>
        </a:stretch>
      </xdr:blipFill>
      <xdr:spPr>
        <a:xfrm>
          <a:off x="47625" y="3495675"/>
          <a:ext cx="358961" cy="264498"/>
        </a:xfrm>
        <a:prstGeom prst="rect">
          <a:avLst/>
        </a:prstGeom>
      </xdr:spPr>
    </xdr:pic>
    <xdr:clientData fPrintsWithSheet="0"/>
  </xdr:twoCellAnchor>
  <xdr:twoCellAnchor editAs="oneCell">
    <xdr:from>
      <xdr:col>0</xdr:col>
      <xdr:colOff>47625</xdr:colOff>
      <xdr:row>48</xdr:row>
      <xdr:rowOff>23813</xdr:rowOff>
    </xdr:from>
    <xdr:to>
      <xdr:col>0</xdr:col>
      <xdr:colOff>406586</xdr:colOff>
      <xdr:row>49</xdr:row>
      <xdr:rowOff>126386</xdr:rowOff>
    </xdr:to>
    <xdr:pic macro="[0]!AutoVBA.GotoInvestTable">
      <xdr:nvPicPr>
        <xdr:cNvPr id="37" name="NextBtn04" descr="nextbtn37c.bmp">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0" cstate="print"/>
        <a:stretch>
          <a:fillRect/>
        </a:stretch>
      </xdr:blipFill>
      <xdr:spPr>
        <a:xfrm>
          <a:off x="47625" y="4119563"/>
          <a:ext cx="358961" cy="264498"/>
        </a:xfrm>
        <a:prstGeom prst="rect">
          <a:avLst/>
        </a:prstGeom>
      </xdr:spPr>
    </xdr:pic>
    <xdr:clientData fPrintsWithSheet="0"/>
  </xdr:twoCellAnchor>
  <xdr:twoCellAnchor editAs="oneCell">
    <xdr:from>
      <xdr:col>0</xdr:col>
      <xdr:colOff>47625</xdr:colOff>
      <xdr:row>50</xdr:row>
      <xdr:rowOff>7146</xdr:rowOff>
    </xdr:from>
    <xdr:to>
      <xdr:col>0</xdr:col>
      <xdr:colOff>406586</xdr:colOff>
      <xdr:row>51</xdr:row>
      <xdr:rowOff>109719</xdr:rowOff>
    </xdr:to>
    <xdr:pic macro="[0]!GoHome">
      <xdr:nvPicPr>
        <xdr:cNvPr id="38" name="HomeBtn04" descr="homebtn37b.bmp">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1" cstate="print"/>
        <a:stretch>
          <a:fillRect/>
        </a:stretch>
      </xdr:blipFill>
      <xdr:spPr>
        <a:xfrm>
          <a:off x="47625" y="4426746"/>
          <a:ext cx="358961" cy="264498"/>
        </a:xfrm>
        <a:prstGeom prst="rect">
          <a:avLst/>
        </a:prstGeom>
      </xdr:spPr>
    </xdr:pic>
    <xdr:clientData fPrintsWithSheet="0"/>
  </xdr:twoCellAnchor>
  <xdr:twoCellAnchor editAs="absolute">
    <xdr:from>
      <xdr:col>0</xdr:col>
      <xdr:colOff>47625</xdr:colOff>
      <xdr:row>11</xdr:row>
      <xdr:rowOff>59532</xdr:rowOff>
    </xdr:from>
    <xdr:to>
      <xdr:col>0</xdr:col>
      <xdr:colOff>406586</xdr:colOff>
      <xdr:row>12</xdr:row>
      <xdr:rowOff>152580</xdr:rowOff>
    </xdr:to>
    <xdr:pic macro="[0]!ShowGuide">
      <xdr:nvPicPr>
        <xdr:cNvPr id="42" name="HelpBtn03" descr="helpbtn37c.bmp">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cstate="print"/>
        <a:stretch>
          <a:fillRect/>
        </a:stretch>
      </xdr:blipFill>
      <xdr:spPr>
        <a:xfrm>
          <a:off x="47625" y="1393032"/>
          <a:ext cx="358961" cy="264498"/>
        </a:xfrm>
        <a:prstGeom prst="rect">
          <a:avLst/>
        </a:prstGeom>
      </xdr:spPr>
    </xdr:pic>
    <xdr:clientData fPrintsWithSheet="0"/>
  </xdr:twoCellAnchor>
  <xdr:twoCellAnchor editAs="oneCell">
    <xdr:from>
      <xdr:col>0</xdr:col>
      <xdr:colOff>47625</xdr:colOff>
      <xdr:row>52</xdr:row>
      <xdr:rowOff>9526</xdr:rowOff>
    </xdr:from>
    <xdr:to>
      <xdr:col>0</xdr:col>
      <xdr:colOff>406586</xdr:colOff>
      <xdr:row>53</xdr:row>
      <xdr:rowOff>112099</xdr:rowOff>
    </xdr:to>
    <xdr:pic macro="[0]!ShowGuide">
      <xdr:nvPicPr>
        <xdr:cNvPr id="43" name="HelpBtn04" descr="helpbtn37c.bmp">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2" cstate="print"/>
        <a:stretch>
          <a:fillRect/>
        </a:stretch>
      </xdr:blipFill>
      <xdr:spPr>
        <a:xfrm>
          <a:off x="47625" y="4752976"/>
          <a:ext cx="358961" cy="264498"/>
        </a:xfrm>
        <a:prstGeom prst="rect">
          <a:avLst/>
        </a:prstGeom>
      </xdr:spPr>
    </xdr:pic>
    <xdr:clientData fPrintsWithSheet="0"/>
  </xdr:twoCellAnchor>
  <xdr:twoCellAnchor editAs="absolute">
    <xdr:from>
      <xdr:col>0</xdr:col>
      <xdr:colOff>44510</xdr:colOff>
      <xdr:row>6</xdr:row>
      <xdr:rowOff>71215</xdr:rowOff>
    </xdr:from>
    <xdr:to>
      <xdr:col>0</xdr:col>
      <xdr:colOff>406213</xdr:colOff>
      <xdr:row>8</xdr:row>
      <xdr:rowOff>147234</xdr:rowOff>
    </xdr:to>
    <xdr:pic macro="[0]!AutoVBA.GotoContactInfo">
      <xdr:nvPicPr>
        <xdr:cNvPr id="20" name="NextBtn03" descr="nextbtn37c.bmp">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0" cstate="print"/>
        <a:stretch>
          <a:fillRect/>
        </a:stretch>
      </xdr:blipFill>
      <xdr:spPr>
        <a:xfrm>
          <a:off x="44510" y="766540"/>
          <a:ext cx="361703" cy="266519"/>
        </a:xfrm>
        <a:prstGeom prst="rect">
          <a:avLst/>
        </a:prstGeom>
      </xdr:spPr>
    </xdr:pic>
    <xdr:clientData fPrintsWithSheet="0"/>
  </xdr:twoCellAnchor>
  <xdr:twoCellAnchor editAs="oneCell">
    <xdr:from>
      <xdr:col>9</xdr:col>
      <xdr:colOff>25400</xdr:colOff>
      <xdr:row>4</xdr:row>
      <xdr:rowOff>12700</xdr:rowOff>
    </xdr:from>
    <xdr:to>
      <xdr:col>9</xdr:col>
      <xdr:colOff>206375</xdr:colOff>
      <xdr:row>4</xdr:row>
      <xdr:rowOff>184150</xdr:rowOff>
    </xdr:to>
    <xdr:pic macro="[0]!AssignNewFunctions">
      <xdr:nvPicPr>
        <xdr:cNvPr id="24" name="btnBVtext01" descr="timebtn">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6464300" y="431800"/>
          <a:ext cx="180975" cy="171450"/>
        </a:xfrm>
        <a:prstGeom prst="rect">
          <a:avLst/>
        </a:prstGeom>
        <a:noFill/>
        <a:ln w="9525">
          <a:noFill/>
          <a:miter lim="800000"/>
          <a:headEnd/>
          <a:tailEnd/>
        </a:ln>
      </xdr:spPr>
    </xdr:pic>
    <xdr:clientData fPrintsWithSheet="0"/>
  </xdr:twoCellAnchor>
  <xdr:twoCellAnchor editAs="oneCell">
    <xdr:from>
      <xdr:col>9</xdr:col>
      <xdr:colOff>666750</xdr:colOff>
      <xdr:row>47</xdr:row>
      <xdr:rowOff>139700</xdr:rowOff>
    </xdr:from>
    <xdr:to>
      <xdr:col>10</xdr:col>
      <xdr:colOff>0</xdr:colOff>
      <xdr:row>48</xdr:row>
      <xdr:rowOff>149225</xdr:rowOff>
    </xdr:to>
    <xdr:pic macro="[0]!AssignNewFunctions">
      <xdr:nvPicPr>
        <xdr:cNvPr id="25" name="btnBVtext02" descr="timebtn">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7416800" y="4724400"/>
          <a:ext cx="222250" cy="168275"/>
        </a:xfrm>
        <a:prstGeom prst="rect">
          <a:avLst/>
        </a:prstGeom>
        <a:noFill/>
        <a:ln w="9525">
          <a:noFill/>
          <a:miter lim="800000"/>
          <a:headEnd/>
          <a:tailEnd/>
        </a:ln>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12700</xdr:colOff>
      <xdr:row>0</xdr:row>
      <xdr:rowOff>38100</xdr:rowOff>
    </xdr:from>
    <xdr:to>
      <xdr:col>4</xdr:col>
      <xdr:colOff>193675</xdr:colOff>
      <xdr:row>1</xdr:row>
      <xdr:rowOff>47625</xdr:rowOff>
    </xdr:to>
    <xdr:pic macro="[0]!HideMacroDefinitions">
      <xdr:nvPicPr>
        <xdr:cNvPr id="2" name="btnCloseMD" descr="xbtn">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61300" y="38100"/>
          <a:ext cx="180975" cy="171450"/>
        </a:xfrm>
        <a:prstGeom prst="rect">
          <a:avLst/>
        </a:prstGeom>
        <a:noFill/>
        <a:ln w="9525">
          <a:noFill/>
          <a:miter lim="800000"/>
          <a:headEnd/>
          <a:tailEnd/>
        </a:ln>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4</xdr:col>
      <xdr:colOff>901700</xdr:colOff>
      <xdr:row>11</xdr:row>
      <xdr:rowOff>3175</xdr:rowOff>
    </xdr:from>
    <xdr:to>
      <xdr:col>5</xdr:col>
      <xdr:colOff>1520825</xdr:colOff>
      <xdr:row>14</xdr:row>
      <xdr:rowOff>3175</xdr:rowOff>
    </xdr:to>
    <xdr:sp macro="" textlink="">
      <xdr:nvSpPr>
        <xdr:cNvPr id="2" name="Text Box 2">
          <a:extLst>
            <a:ext uri="{FF2B5EF4-FFF2-40B4-BE49-F238E27FC236}">
              <a16:creationId xmlns:a16="http://schemas.microsoft.com/office/drawing/2014/main" id="{00000000-0008-0000-0D00-000002000000}"/>
            </a:ext>
          </a:extLst>
        </xdr:cNvPr>
        <xdr:cNvSpPr txBox="1">
          <a:spLocks noChangeArrowheads="1"/>
        </xdr:cNvSpPr>
      </xdr:nvSpPr>
      <xdr:spPr bwMode="auto">
        <a:xfrm>
          <a:off x="4787900" y="1803400"/>
          <a:ext cx="1524000" cy="495300"/>
        </a:xfrm>
        <a:prstGeom prst="rect">
          <a:avLst/>
        </a:prstGeom>
        <a:solidFill>
          <a:srgbClr val="FFFFFF"/>
        </a:solidFill>
        <a:ln w="9525">
          <a:solidFill>
            <a:srgbClr val="000000"/>
          </a:solidFill>
          <a:miter lim="800000"/>
          <a:headEnd/>
          <a:tailEnd/>
        </a:ln>
      </xdr:spPr>
      <xdr:txBody>
        <a:bodyPr vertOverflow="clip" wrap="square" lIns="27432" tIns="0" rIns="0" bIns="22860" anchor="b" upright="1"/>
        <a:lstStyle/>
        <a:p>
          <a:pPr algn="l" rtl="0">
            <a:defRPr sz="1000"/>
          </a:pPr>
          <a:r>
            <a:rPr lang="fi-FI" sz="1000" b="0" i="0" strike="noStrike">
              <a:solidFill>
                <a:srgbClr val="000000"/>
              </a:solidFill>
              <a:latin typeface="Arial"/>
              <a:cs typeface="Arial"/>
            </a:rPr>
            <a:t>1=Average, 2=Begin, 3=End</a:t>
          </a:r>
        </a:p>
      </xdr:txBody>
    </xdr:sp>
    <xdr:clientData/>
  </xdr:twoCellAnchor>
  <xdr:twoCellAnchor>
    <xdr:from>
      <xdr:col>4</xdr:col>
      <xdr:colOff>901700</xdr:colOff>
      <xdr:row>14</xdr:row>
      <xdr:rowOff>3175</xdr:rowOff>
    </xdr:from>
    <xdr:to>
      <xdr:col>5</xdr:col>
      <xdr:colOff>1520825</xdr:colOff>
      <xdr:row>16</xdr:row>
      <xdr:rowOff>3175</xdr:rowOff>
    </xdr:to>
    <xdr:sp macro="" textlink="">
      <xdr:nvSpPr>
        <xdr:cNvPr id="3" name="Text Box 3">
          <a:extLst>
            <a:ext uri="{FF2B5EF4-FFF2-40B4-BE49-F238E27FC236}">
              <a16:creationId xmlns:a16="http://schemas.microsoft.com/office/drawing/2014/main" id="{00000000-0008-0000-0D00-000003000000}"/>
            </a:ext>
          </a:extLst>
        </xdr:cNvPr>
        <xdr:cNvSpPr txBox="1">
          <a:spLocks noChangeArrowheads="1"/>
        </xdr:cNvSpPr>
      </xdr:nvSpPr>
      <xdr:spPr bwMode="auto">
        <a:xfrm>
          <a:off x="4787900" y="2298700"/>
          <a:ext cx="1524000" cy="3333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i-FI" sz="1000" b="0" i="0" strike="noStrike">
              <a:solidFill>
                <a:srgbClr val="000000"/>
              </a:solidFill>
              <a:latin typeface="Arial"/>
              <a:cs typeface="Arial"/>
            </a:rPr>
            <a:t>1=Before, 2=After tax</a:t>
          </a:r>
        </a:p>
      </xdr:txBody>
    </xdr:sp>
    <xdr:clientData/>
  </xdr:twoCellAnchor>
  <xdr:twoCellAnchor>
    <xdr:from>
      <xdr:col>7</xdr:col>
      <xdr:colOff>285750</xdr:colOff>
      <xdr:row>13</xdr:row>
      <xdr:rowOff>88900</xdr:rowOff>
    </xdr:from>
    <xdr:to>
      <xdr:col>7</xdr:col>
      <xdr:colOff>285750</xdr:colOff>
      <xdr:row>34</xdr:row>
      <xdr:rowOff>31750</xdr:rowOff>
    </xdr:to>
    <xdr:sp macro="" textlink="">
      <xdr:nvSpPr>
        <xdr:cNvPr id="4" name="Line 6">
          <a:extLst>
            <a:ext uri="{FF2B5EF4-FFF2-40B4-BE49-F238E27FC236}">
              <a16:creationId xmlns:a16="http://schemas.microsoft.com/office/drawing/2014/main" id="{00000000-0008-0000-0D00-000004000000}"/>
            </a:ext>
          </a:extLst>
        </xdr:cNvPr>
        <xdr:cNvSpPr>
          <a:spLocks noChangeShapeType="1"/>
        </xdr:cNvSpPr>
      </xdr:nvSpPr>
      <xdr:spPr bwMode="auto">
        <a:xfrm>
          <a:off x="7581900" y="2222500"/>
          <a:ext cx="0" cy="3362325"/>
        </a:xfrm>
        <a:prstGeom prst="line">
          <a:avLst/>
        </a:prstGeom>
        <a:noFill/>
        <a:ln w="9525">
          <a:solidFill>
            <a:srgbClr val="000000"/>
          </a:solidFill>
          <a:round/>
          <a:headEnd/>
          <a:tailEnd type="triangle" w="med" len="med"/>
        </a:ln>
      </xdr:spPr>
    </xdr:sp>
    <xdr:clientData/>
  </xdr:twoCellAnchor>
  <xdr:twoCellAnchor>
    <xdr:from>
      <xdr:col>19</xdr:col>
      <xdr:colOff>698500</xdr:colOff>
      <xdr:row>1</xdr:row>
      <xdr:rowOff>15875</xdr:rowOff>
    </xdr:from>
    <xdr:to>
      <xdr:col>19</xdr:col>
      <xdr:colOff>698500</xdr:colOff>
      <xdr:row>24</xdr:row>
      <xdr:rowOff>101600</xdr:rowOff>
    </xdr:to>
    <xdr:sp macro="" textlink="">
      <xdr:nvSpPr>
        <xdr:cNvPr id="5" name="Line 7">
          <a:extLst>
            <a:ext uri="{FF2B5EF4-FFF2-40B4-BE49-F238E27FC236}">
              <a16:creationId xmlns:a16="http://schemas.microsoft.com/office/drawing/2014/main" id="{00000000-0008-0000-0D00-000005000000}"/>
            </a:ext>
          </a:extLst>
        </xdr:cNvPr>
        <xdr:cNvSpPr>
          <a:spLocks noChangeShapeType="1"/>
        </xdr:cNvSpPr>
      </xdr:nvSpPr>
      <xdr:spPr bwMode="auto">
        <a:xfrm>
          <a:off x="19939000" y="177800"/>
          <a:ext cx="0" cy="3857625"/>
        </a:xfrm>
        <a:prstGeom prst="line">
          <a:avLst/>
        </a:prstGeom>
        <a:noFill/>
        <a:ln w="9525">
          <a:solidFill>
            <a:srgbClr val="000000"/>
          </a:solidFill>
          <a:round/>
          <a:headEnd/>
          <a:tailEnd type="triangle" w="med" len="med"/>
        </a:ln>
      </xdr:spPr>
    </xdr:sp>
    <xdr:clientData/>
  </xdr:twoCellAnchor>
  <xdr:twoCellAnchor>
    <xdr:from>
      <xdr:col>5</xdr:col>
      <xdr:colOff>22225</xdr:colOff>
      <xdr:row>27</xdr:row>
      <xdr:rowOff>0</xdr:rowOff>
    </xdr:from>
    <xdr:to>
      <xdr:col>7</xdr:col>
      <xdr:colOff>3175</xdr:colOff>
      <xdr:row>29</xdr:row>
      <xdr:rowOff>28575</xdr:rowOff>
    </xdr:to>
    <xdr:sp macro="" textlink="">
      <xdr:nvSpPr>
        <xdr:cNvPr id="6" name="Text Box 8">
          <a:extLst>
            <a:ext uri="{FF2B5EF4-FFF2-40B4-BE49-F238E27FC236}">
              <a16:creationId xmlns:a16="http://schemas.microsoft.com/office/drawing/2014/main" id="{00000000-0008-0000-0D00-000006000000}"/>
            </a:ext>
          </a:extLst>
        </xdr:cNvPr>
        <xdr:cNvSpPr txBox="1">
          <a:spLocks noChangeArrowheads="1"/>
        </xdr:cNvSpPr>
      </xdr:nvSpPr>
      <xdr:spPr bwMode="auto">
        <a:xfrm>
          <a:off x="4813300" y="4419600"/>
          <a:ext cx="2486025" cy="352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1000" b="0" i="0" strike="noStrike">
              <a:solidFill>
                <a:srgbClr val="000000"/>
              </a:solidFill>
              <a:latin typeface="Arial"/>
              <a:cs typeface="Arial"/>
            </a:rPr>
            <a:t>Note! All 0 (zero) default in template. Added in 2.16.</a:t>
          </a:r>
        </a:p>
      </xdr:txBody>
    </xdr:sp>
    <xdr:clientData/>
  </xdr:twoCellAnchor>
  <xdr:twoCellAnchor>
    <xdr:from>
      <xdr:col>5</xdr:col>
      <xdr:colOff>9525</xdr:colOff>
      <xdr:row>31</xdr:row>
      <xdr:rowOff>0</xdr:rowOff>
    </xdr:from>
    <xdr:to>
      <xdr:col>7</xdr:col>
      <xdr:colOff>0</xdr:colOff>
      <xdr:row>32</xdr:row>
      <xdr:rowOff>38100</xdr:rowOff>
    </xdr:to>
    <xdr:sp macro="" textlink="">
      <xdr:nvSpPr>
        <xdr:cNvPr id="7" name="Text Box 9">
          <a:extLst>
            <a:ext uri="{FF2B5EF4-FFF2-40B4-BE49-F238E27FC236}">
              <a16:creationId xmlns:a16="http://schemas.microsoft.com/office/drawing/2014/main" id="{00000000-0008-0000-0D00-000007000000}"/>
            </a:ext>
          </a:extLst>
        </xdr:cNvPr>
        <xdr:cNvSpPr txBox="1">
          <a:spLocks noChangeArrowheads="1"/>
        </xdr:cNvSpPr>
      </xdr:nvSpPr>
      <xdr:spPr bwMode="auto">
        <a:xfrm>
          <a:off x="4800600" y="5067300"/>
          <a:ext cx="2495550"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i-FI" sz="1000" b="0" i="0" u="none" strike="noStrike" baseline="0">
              <a:solidFill>
                <a:srgbClr val="000000"/>
              </a:solidFill>
              <a:latin typeface="Arial"/>
              <a:cs typeface="Arial"/>
            </a:rPr>
            <a:t>1 = financial years, 2 (or 0) =per phase</a:t>
          </a:r>
        </a:p>
      </xdr:txBody>
    </xdr:sp>
    <xdr:clientData/>
  </xdr:twoCellAnchor>
  <xdr:twoCellAnchor>
    <xdr:from>
      <xdr:col>6</xdr:col>
      <xdr:colOff>974725</xdr:colOff>
      <xdr:row>41</xdr:row>
      <xdr:rowOff>158750</xdr:rowOff>
    </xdr:from>
    <xdr:to>
      <xdr:col>8</xdr:col>
      <xdr:colOff>1441450</xdr:colOff>
      <xdr:row>42</xdr:row>
      <xdr:rowOff>158750</xdr:rowOff>
    </xdr:to>
    <xdr:sp macro="" textlink="">
      <xdr:nvSpPr>
        <xdr:cNvPr id="9" name="Text Box 17">
          <a:extLst>
            <a:ext uri="{FF2B5EF4-FFF2-40B4-BE49-F238E27FC236}">
              <a16:creationId xmlns:a16="http://schemas.microsoft.com/office/drawing/2014/main" id="{00000000-0008-0000-0D00-000009000000}"/>
            </a:ext>
          </a:extLst>
        </xdr:cNvPr>
        <xdr:cNvSpPr txBox="1">
          <a:spLocks noChangeArrowheads="1"/>
        </xdr:cNvSpPr>
      </xdr:nvSpPr>
      <xdr:spPr bwMode="auto">
        <a:xfrm>
          <a:off x="7289800" y="68453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1=no, 2=yes (perpetuity base entered)</a:t>
          </a:r>
        </a:p>
      </xdr:txBody>
    </xdr:sp>
    <xdr:clientData/>
  </xdr:twoCellAnchor>
  <xdr:twoCellAnchor>
    <xdr:from>
      <xdr:col>6</xdr:col>
      <xdr:colOff>974725</xdr:colOff>
      <xdr:row>43</xdr:row>
      <xdr:rowOff>0</xdr:rowOff>
    </xdr:from>
    <xdr:to>
      <xdr:col>8</xdr:col>
      <xdr:colOff>1441450</xdr:colOff>
      <xdr:row>44</xdr:row>
      <xdr:rowOff>0</xdr:rowOff>
    </xdr:to>
    <xdr:sp macro="" textlink="">
      <xdr:nvSpPr>
        <xdr:cNvPr id="10" name="Text Box 18">
          <a:extLst>
            <a:ext uri="{FF2B5EF4-FFF2-40B4-BE49-F238E27FC236}">
              <a16:creationId xmlns:a16="http://schemas.microsoft.com/office/drawing/2014/main" id="{00000000-0008-0000-0D00-00000A000000}"/>
            </a:ext>
          </a:extLst>
        </xdr:cNvPr>
        <xdr:cNvSpPr txBox="1">
          <a:spLocks noChangeArrowheads="1"/>
        </xdr:cNvSpPr>
      </xdr:nvSpPr>
      <xdr:spPr bwMode="auto">
        <a:xfrm>
          <a:off x="7289800" y="70104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1=no, 2=yes (perpetuity type growing)</a:t>
          </a:r>
        </a:p>
      </xdr:txBody>
    </xdr:sp>
    <xdr:clientData/>
  </xdr:twoCellAnchor>
  <xdr:twoCellAnchor>
    <xdr:from>
      <xdr:col>6</xdr:col>
      <xdr:colOff>974725</xdr:colOff>
      <xdr:row>40</xdr:row>
      <xdr:rowOff>3175</xdr:rowOff>
    </xdr:from>
    <xdr:to>
      <xdr:col>8</xdr:col>
      <xdr:colOff>1441450</xdr:colOff>
      <xdr:row>41</xdr:row>
      <xdr:rowOff>3175</xdr:rowOff>
    </xdr:to>
    <xdr:sp macro="" textlink="">
      <xdr:nvSpPr>
        <xdr:cNvPr id="11" name="Text Box 19">
          <a:extLst>
            <a:ext uri="{FF2B5EF4-FFF2-40B4-BE49-F238E27FC236}">
              <a16:creationId xmlns:a16="http://schemas.microsoft.com/office/drawing/2014/main" id="{00000000-0008-0000-0D00-00000B000000}"/>
            </a:ext>
          </a:extLst>
        </xdr:cNvPr>
        <xdr:cNvSpPr txBox="1">
          <a:spLocks noChangeArrowheads="1"/>
        </xdr:cNvSpPr>
      </xdr:nvSpPr>
      <xdr:spPr bwMode="auto">
        <a:xfrm>
          <a:off x="7289800" y="65278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Default formula =R[-1]C</a:t>
          </a:r>
        </a:p>
      </xdr:txBody>
    </xdr:sp>
    <xdr:clientData/>
  </xdr:twoCellAnchor>
  <xdr:twoCellAnchor>
    <xdr:from>
      <xdr:col>6</xdr:col>
      <xdr:colOff>974725</xdr:colOff>
      <xdr:row>44</xdr:row>
      <xdr:rowOff>3175</xdr:rowOff>
    </xdr:from>
    <xdr:to>
      <xdr:col>8</xdr:col>
      <xdr:colOff>1441450</xdr:colOff>
      <xdr:row>45</xdr:row>
      <xdr:rowOff>3175</xdr:rowOff>
    </xdr:to>
    <xdr:sp macro="" textlink="">
      <xdr:nvSpPr>
        <xdr:cNvPr id="12" name="Text Box 20">
          <a:extLst>
            <a:ext uri="{FF2B5EF4-FFF2-40B4-BE49-F238E27FC236}">
              <a16:creationId xmlns:a16="http://schemas.microsoft.com/office/drawing/2014/main" id="{00000000-0008-0000-0D00-00000C000000}"/>
            </a:ext>
          </a:extLst>
        </xdr:cNvPr>
        <xdr:cNvSpPr txBox="1">
          <a:spLocks noChangeArrowheads="1"/>
        </xdr:cNvSpPr>
      </xdr:nvSpPr>
      <xdr:spPr bwMode="auto">
        <a:xfrm>
          <a:off x="7289800" y="71755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1=Entered, 2=from Pro Finance</a:t>
          </a:r>
        </a:p>
      </xdr:txBody>
    </xdr:sp>
    <xdr:clientData/>
  </xdr:twoCellAnchor>
  <xdr:twoCellAnchor>
    <xdr:from>
      <xdr:col>16</xdr:col>
      <xdr:colOff>292100</xdr:colOff>
      <xdr:row>0</xdr:row>
      <xdr:rowOff>76200</xdr:rowOff>
    </xdr:from>
    <xdr:to>
      <xdr:col>16</xdr:col>
      <xdr:colOff>292100</xdr:colOff>
      <xdr:row>14</xdr:row>
      <xdr:rowOff>123825</xdr:rowOff>
    </xdr:to>
    <xdr:sp macro="" textlink="">
      <xdr:nvSpPr>
        <xdr:cNvPr id="13" name="Line 22">
          <a:extLst>
            <a:ext uri="{FF2B5EF4-FFF2-40B4-BE49-F238E27FC236}">
              <a16:creationId xmlns:a16="http://schemas.microsoft.com/office/drawing/2014/main" id="{00000000-0008-0000-0D00-00000D000000}"/>
            </a:ext>
          </a:extLst>
        </xdr:cNvPr>
        <xdr:cNvSpPr>
          <a:spLocks noChangeShapeType="1"/>
        </xdr:cNvSpPr>
      </xdr:nvSpPr>
      <xdr:spPr bwMode="auto">
        <a:xfrm>
          <a:off x="17703800" y="76200"/>
          <a:ext cx="0" cy="2343150"/>
        </a:xfrm>
        <a:prstGeom prst="line">
          <a:avLst/>
        </a:prstGeom>
        <a:noFill/>
        <a:ln w="9525">
          <a:solidFill>
            <a:srgbClr val="000000"/>
          </a:solidFill>
          <a:round/>
          <a:headEnd/>
          <a:tailEnd type="triangle" w="med" len="med"/>
        </a:ln>
      </xdr:spPr>
    </xdr:sp>
    <xdr:clientData/>
  </xdr:twoCellAnchor>
  <xdr:twoCellAnchor>
    <xdr:from>
      <xdr:col>16</xdr:col>
      <xdr:colOff>63500</xdr:colOff>
      <xdr:row>11</xdr:row>
      <xdr:rowOff>3175</xdr:rowOff>
    </xdr:from>
    <xdr:to>
      <xdr:col>16</xdr:col>
      <xdr:colOff>549275</xdr:colOff>
      <xdr:row>12</xdr:row>
      <xdr:rowOff>127000</xdr:rowOff>
    </xdr:to>
    <xdr:sp macro="" textlink="">
      <xdr:nvSpPr>
        <xdr:cNvPr id="14" name="Text Box 23">
          <a:extLst>
            <a:ext uri="{FF2B5EF4-FFF2-40B4-BE49-F238E27FC236}">
              <a16:creationId xmlns:a16="http://schemas.microsoft.com/office/drawing/2014/main" id="{00000000-0008-0000-0D00-00000E000000}"/>
            </a:ext>
          </a:extLst>
        </xdr:cNvPr>
        <xdr:cNvSpPr txBox="1">
          <a:spLocks noChangeArrowheads="1"/>
        </xdr:cNvSpPr>
      </xdr:nvSpPr>
      <xdr:spPr bwMode="auto">
        <a:xfrm>
          <a:off x="17475200" y="1803400"/>
          <a:ext cx="485775" cy="2952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fi-FI" sz="800" b="0" i="0" strike="noStrike">
              <a:solidFill>
                <a:srgbClr val="000000"/>
              </a:solidFill>
              <a:latin typeface="Arial"/>
              <a:cs typeface="Arial"/>
            </a:rPr>
            <a:t>Partial locking</a:t>
          </a:r>
        </a:p>
      </xdr:txBody>
    </xdr:sp>
    <xdr:clientData/>
  </xdr:twoCellAnchor>
  <xdr:twoCellAnchor>
    <xdr:from>
      <xdr:col>6</xdr:col>
      <xdr:colOff>974725</xdr:colOff>
      <xdr:row>47</xdr:row>
      <xdr:rowOff>0</xdr:rowOff>
    </xdr:from>
    <xdr:to>
      <xdr:col>8</xdr:col>
      <xdr:colOff>784225</xdr:colOff>
      <xdr:row>48</xdr:row>
      <xdr:rowOff>0</xdr:rowOff>
    </xdr:to>
    <xdr:sp macro="" textlink="">
      <xdr:nvSpPr>
        <xdr:cNvPr id="15" name="Text Box 24">
          <a:extLst>
            <a:ext uri="{FF2B5EF4-FFF2-40B4-BE49-F238E27FC236}">
              <a16:creationId xmlns:a16="http://schemas.microsoft.com/office/drawing/2014/main" id="{00000000-0008-0000-0D00-00000F000000}"/>
            </a:ext>
          </a:extLst>
        </xdr:cNvPr>
        <xdr:cNvSpPr txBox="1">
          <a:spLocks noChangeArrowheads="1"/>
        </xdr:cNvSpPr>
      </xdr:nvSpPr>
      <xdr:spPr bwMode="auto">
        <a:xfrm>
          <a:off x="7289800" y="7658100"/>
          <a:ext cx="14001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1=Calculated tax, 0=standard tax</a:t>
          </a:r>
        </a:p>
      </xdr:txBody>
    </xdr:sp>
    <xdr:clientData/>
  </xdr:twoCellAnchor>
  <xdr:twoCellAnchor>
    <xdr:from>
      <xdr:col>1</xdr:col>
      <xdr:colOff>841375</xdr:colOff>
      <xdr:row>7</xdr:row>
      <xdr:rowOff>0</xdr:rowOff>
    </xdr:from>
    <xdr:to>
      <xdr:col>3</xdr:col>
      <xdr:colOff>3175</xdr:colOff>
      <xdr:row>13</xdr:row>
      <xdr:rowOff>9525</xdr:rowOff>
    </xdr:to>
    <xdr:sp macro="" textlink="">
      <xdr:nvSpPr>
        <xdr:cNvPr id="16" name="Text Box 25">
          <a:extLst>
            <a:ext uri="{FF2B5EF4-FFF2-40B4-BE49-F238E27FC236}">
              <a16:creationId xmlns:a16="http://schemas.microsoft.com/office/drawing/2014/main" id="{00000000-0008-0000-0D00-000010000000}"/>
            </a:ext>
          </a:extLst>
        </xdr:cNvPr>
        <xdr:cNvSpPr txBox="1">
          <a:spLocks noChangeArrowheads="1"/>
        </xdr:cNvSpPr>
      </xdr:nvSpPr>
      <xdr:spPr bwMode="auto">
        <a:xfrm>
          <a:off x="1689100" y="1143000"/>
          <a:ext cx="857250" cy="10001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1000" b="0" i="0" strike="noStrike">
              <a:solidFill>
                <a:srgbClr val="000000"/>
              </a:solidFill>
              <a:latin typeface="Arial"/>
              <a:cs typeface="Arial"/>
            </a:rPr>
            <a:t>Added in 310:</a:t>
          </a:r>
        </a:p>
        <a:p>
          <a:pPr algn="l" rtl="1">
            <a:defRPr sz="1000"/>
          </a:pPr>
          <a:r>
            <a:rPr lang="fi-FI" sz="1000" b="0" i="0" strike="noStrike">
              <a:solidFill>
                <a:srgbClr val="000000"/>
              </a:solidFill>
              <a:latin typeface="Arial"/>
              <a:cs typeface="Arial"/>
            </a:rPr>
            <a:t>InvOrAcq=3 =impairment test calculation</a:t>
          </a:r>
        </a:p>
      </xdr:txBody>
    </xdr:sp>
    <xdr:clientData/>
  </xdr:twoCellAnchor>
  <xdr:twoCellAnchor>
    <xdr:from>
      <xdr:col>6</xdr:col>
      <xdr:colOff>974725</xdr:colOff>
      <xdr:row>48</xdr:row>
      <xdr:rowOff>3175</xdr:rowOff>
    </xdr:from>
    <xdr:to>
      <xdr:col>8</xdr:col>
      <xdr:colOff>784225</xdr:colOff>
      <xdr:row>49</xdr:row>
      <xdr:rowOff>3175</xdr:rowOff>
    </xdr:to>
    <xdr:sp macro="" textlink="">
      <xdr:nvSpPr>
        <xdr:cNvPr id="17" name="Text Box 26">
          <a:extLst>
            <a:ext uri="{FF2B5EF4-FFF2-40B4-BE49-F238E27FC236}">
              <a16:creationId xmlns:a16="http://schemas.microsoft.com/office/drawing/2014/main" id="{00000000-0008-0000-0D00-000011000000}"/>
            </a:ext>
          </a:extLst>
        </xdr:cNvPr>
        <xdr:cNvSpPr txBox="1">
          <a:spLocks noChangeArrowheads="1"/>
        </xdr:cNvSpPr>
      </xdr:nvSpPr>
      <xdr:spPr bwMode="auto">
        <a:xfrm>
          <a:off x="7289800" y="7823200"/>
          <a:ext cx="14001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1=Yes=posttax, 0=No=pretax</a:t>
          </a:r>
        </a:p>
      </xdr:txBody>
    </xdr:sp>
    <xdr:clientData/>
  </xdr:twoCellAnchor>
  <xdr:twoCellAnchor>
    <xdr:from>
      <xdr:col>6</xdr:col>
      <xdr:colOff>974725</xdr:colOff>
      <xdr:row>49</xdr:row>
      <xdr:rowOff>0</xdr:rowOff>
    </xdr:from>
    <xdr:to>
      <xdr:col>8</xdr:col>
      <xdr:colOff>1889125</xdr:colOff>
      <xdr:row>50</xdr:row>
      <xdr:rowOff>12700</xdr:rowOff>
    </xdr:to>
    <xdr:sp macro="" textlink="">
      <xdr:nvSpPr>
        <xdr:cNvPr id="18" name="Text Box 27">
          <a:extLst>
            <a:ext uri="{FF2B5EF4-FFF2-40B4-BE49-F238E27FC236}">
              <a16:creationId xmlns:a16="http://schemas.microsoft.com/office/drawing/2014/main" id="{00000000-0008-0000-0D00-000012000000}"/>
            </a:ext>
          </a:extLst>
        </xdr:cNvPr>
        <xdr:cNvSpPr txBox="1">
          <a:spLocks noChangeArrowheads="1"/>
        </xdr:cNvSpPr>
      </xdr:nvSpPr>
      <xdr:spPr bwMode="auto">
        <a:xfrm>
          <a:off x="7289800" y="7981950"/>
          <a:ext cx="2505075" cy="1746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1=Yes=include tax effect of financing in FCF, 0=No</a:t>
          </a:r>
        </a:p>
      </xdr:txBody>
    </xdr:sp>
    <xdr:clientData/>
  </xdr:twoCellAnchor>
  <xdr:twoCellAnchor>
    <xdr:from>
      <xdr:col>6</xdr:col>
      <xdr:colOff>974725</xdr:colOff>
      <xdr:row>49</xdr:row>
      <xdr:rowOff>158750</xdr:rowOff>
    </xdr:from>
    <xdr:to>
      <xdr:col>8</xdr:col>
      <xdr:colOff>1889125</xdr:colOff>
      <xdr:row>50</xdr:row>
      <xdr:rowOff>158750</xdr:rowOff>
    </xdr:to>
    <xdr:sp macro="" textlink="">
      <xdr:nvSpPr>
        <xdr:cNvPr id="19" name="Text Box 28">
          <a:extLst>
            <a:ext uri="{FF2B5EF4-FFF2-40B4-BE49-F238E27FC236}">
              <a16:creationId xmlns:a16="http://schemas.microsoft.com/office/drawing/2014/main" id="{00000000-0008-0000-0D00-000013000000}"/>
            </a:ext>
          </a:extLst>
        </xdr:cNvPr>
        <xdr:cNvSpPr txBox="1">
          <a:spLocks noChangeArrowheads="1"/>
        </xdr:cNvSpPr>
      </xdr:nvSpPr>
      <xdr:spPr bwMode="auto">
        <a:xfrm>
          <a:off x="7289800" y="8140700"/>
          <a:ext cx="25050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1=Yes=include positive tax effects, 0=No</a:t>
          </a:r>
        </a:p>
      </xdr:txBody>
    </xdr:sp>
    <xdr:clientData/>
  </xdr:twoCellAnchor>
  <xdr:twoCellAnchor>
    <xdr:from>
      <xdr:col>6</xdr:col>
      <xdr:colOff>974725</xdr:colOff>
      <xdr:row>51</xdr:row>
      <xdr:rowOff>0</xdr:rowOff>
    </xdr:from>
    <xdr:to>
      <xdr:col>8</xdr:col>
      <xdr:colOff>1889125</xdr:colOff>
      <xdr:row>52</xdr:row>
      <xdr:rowOff>0</xdr:rowOff>
    </xdr:to>
    <xdr:sp macro="" textlink="">
      <xdr:nvSpPr>
        <xdr:cNvPr id="20" name="Text Box 29">
          <a:extLst>
            <a:ext uri="{FF2B5EF4-FFF2-40B4-BE49-F238E27FC236}">
              <a16:creationId xmlns:a16="http://schemas.microsoft.com/office/drawing/2014/main" id="{00000000-0008-0000-0D00-000014000000}"/>
            </a:ext>
          </a:extLst>
        </xdr:cNvPr>
        <xdr:cNvSpPr txBox="1">
          <a:spLocks noChangeArrowheads="1"/>
        </xdr:cNvSpPr>
      </xdr:nvSpPr>
      <xdr:spPr bwMode="auto">
        <a:xfrm>
          <a:off x="7289800" y="8305800"/>
          <a:ext cx="25050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1=Manual, 0=Automatic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1930400</xdr:colOff>
      <xdr:row>15</xdr:row>
      <xdr:rowOff>0</xdr:rowOff>
    </xdr:from>
    <xdr:to>
      <xdr:col>2</xdr:col>
      <xdr:colOff>2159000</xdr:colOff>
      <xdr:row>16</xdr:row>
      <xdr:rowOff>0</xdr:rowOff>
    </xdr:to>
    <xdr:pic macro="[0]!Distribute">
      <xdr:nvPicPr>
        <xdr:cNvPr id="32" name="DistBtn05" descr="distbtn2">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30425" y="495300"/>
          <a:ext cx="228600" cy="142875"/>
        </a:xfrm>
        <a:prstGeom prst="rect">
          <a:avLst/>
        </a:prstGeom>
        <a:noFill/>
        <a:ln w="9525">
          <a:noFill/>
          <a:miter lim="800000"/>
          <a:headEnd/>
          <a:tailEnd/>
        </a:ln>
      </xdr:spPr>
    </xdr:pic>
    <xdr:clientData fPrintsWithSheet="0"/>
  </xdr:twoCellAnchor>
  <xdr:twoCellAnchor editAs="oneCell">
    <xdr:from>
      <xdr:col>2</xdr:col>
      <xdr:colOff>1914525</xdr:colOff>
      <xdr:row>439</xdr:row>
      <xdr:rowOff>0</xdr:rowOff>
    </xdr:from>
    <xdr:to>
      <xdr:col>2</xdr:col>
      <xdr:colOff>2143125</xdr:colOff>
      <xdr:row>440</xdr:row>
      <xdr:rowOff>0</xdr:rowOff>
    </xdr:to>
    <xdr:pic macro="[0]!Distribute">
      <xdr:nvPicPr>
        <xdr:cNvPr id="33" name="DistBtn07" descr="distbtn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6334125"/>
          <a:ext cx="228600" cy="142875"/>
        </a:xfrm>
        <a:prstGeom prst="rect">
          <a:avLst/>
        </a:prstGeom>
        <a:noFill/>
        <a:ln w="9525">
          <a:noFill/>
          <a:miter lim="800000"/>
          <a:headEnd/>
          <a:tailEnd/>
        </a:ln>
      </xdr:spPr>
    </xdr:pic>
    <xdr:clientData fPrintsWithSheet="0"/>
  </xdr:twoCellAnchor>
  <xdr:twoCellAnchor editAs="oneCell">
    <xdr:from>
      <xdr:col>2</xdr:col>
      <xdr:colOff>1752600</xdr:colOff>
      <xdr:row>439</xdr:row>
      <xdr:rowOff>0</xdr:rowOff>
    </xdr:from>
    <xdr:to>
      <xdr:col>2</xdr:col>
      <xdr:colOff>1905000</xdr:colOff>
      <xdr:row>440</xdr:row>
      <xdr:rowOff>0</xdr:rowOff>
    </xdr:to>
    <xdr:pic macro="[0]!BreakEvenCell">
      <xdr:nvPicPr>
        <xdr:cNvPr id="34" name="Button 47" descr="breakeven">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52625" y="6334125"/>
          <a:ext cx="152400" cy="142875"/>
        </a:xfrm>
        <a:prstGeom prst="rect">
          <a:avLst/>
        </a:prstGeom>
        <a:noFill/>
        <a:ln w="9525">
          <a:noFill/>
          <a:miter lim="800000"/>
          <a:headEnd/>
          <a:tailEnd/>
        </a:ln>
      </xdr:spPr>
    </xdr:pic>
    <xdr:clientData fPrintsWithSheet="0"/>
  </xdr:twoCellAnchor>
  <xdr:twoCellAnchor editAs="oneCell">
    <xdr:from>
      <xdr:col>2</xdr:col>
      <xdr:colOff>1914525</xdr:colOff>
      <xdr:row>542</xdr:row>
      <xdr:rowOff>0</xdr:rowOff>
    </xdr:from>
    <xdr:to>
      <xdr:col>2</xdr:col>
      <xdr:colOff>2143125</xdr:colOff>
      <xdr:row>543</xdr:row>
      <xdr:rowOff>0</xdr:rowOff>
    </xdr:to>
    <xdr:pic macro="[0]!Distribute">
      <xdr:nvPicPr>
        <xdr:cNvPr id="35" name="DistBtn08" descr="distbtn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17392650"/>
          <a:ext cx="228600" cy="142875"/>
        </a:xfrm>
        <a:prstGeom prst="rect">
          <a:avLst/>
        </a:prstGeom>
        <a:noFill/>
        <a:ln w="9525">
          <a:noFill/>
          <a:miter lim="800000"/>
          <a:headEnd/>
          <a:tailEnd/>
        </a:ln>
      </xdr:spPr>
    </xdr:pic>
    <xdr:clientData fPrintsWithSheet="0"/>
  </xdr:twoCellAnchor>
  <xdr:twoCellAnchor editAs="oneCell">
    <xdr:from>
      <xdr:col>2</xdr:col>
      <xdr:colOff>1752600</xdr:colOff>
      <xdr:row>542</xdr:row>
      <xdr:rowOff>0</xdr:rowOff>
    </xdr:from>
    <xdr:to>
      <xdr:col>2</xdr:col>
      <xdr:colOff>1905000</xdr:colOff>
      <xdr:row>543</xdr:row>
      <xdr:rowOff>0</xdr:rowOff>
    </xdr:to>
    <xdr:pic macro="[0]!BreakEvenCell">
      <xdr:nvPicPr>
        <xdr:cNvPr id="36" name="Button 50" descr="breakeven">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52625" y="17392650"/>
          <a:ext cx="152400" cy="142875"/>
        </a:xfrm>
        <a:prstGeom prst="rect">
          <a:avLst/>
        </a:prstGeom>
        <a:noFill/>
        <a:ln w="9525">
          <a:noFill/>
          <a:miter lim="800000"/>
          <a:headEnd/>
          <a:tailEnd/>
        </a:ln>
      </xdr:spPr>
    </xdr:pic>
    <xdr:clientData fPrintsWithSheet="0"/>
  </xdr:twoCellAnchor>
  <xdr:twoCellAnchor editAs="oneCell">
    <xdr:from>
      <xdr:col>2</xdr:col>
      <xdr:colOff>1914525</xdr:colOff>
      <xdr:row>630</xdr:row>
      <xdr:rowOff>0</xdr:rowOff>
    </xdr:from>
    <xdr:to>
      <xdr:col>2</xdr:col>
      <xdr:colOff>2143125</xdr:colOff>
      <xdr:row>631</xdr:row>
      <xdr:rowOff>0</xdr:rowOff>
    </xdr:to>
    <xdr:pic macro="[0]!Distribute">
      <xdr:nvPicPr>
        <xdr:cNvPr id="37" name="DistBtn09" descr="distbtn2">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21955125"/>
          <a:ext cx="228600" cy="142875"/>
        </a:xfrm>
        <a:prstGeom prst="rect">
          <a:avLst/>
        </a:prstGeom>
        <a:noFill/>
        <a:ln w="9525">
          <a:noFill/>
          <a:miter lim="800000"/>
          <a:headEnd/>
          <a:tailEnd/>
        </a:ln>
      </xdr:spPr>
    </xdr:pic>
    <xdr:clientData fPrintsWithSheet="0"/>
  </xdr:twoCellAnchor>
  <xdr:twoCellAnchor editAs="oneCell">
    <xdr:from>
      <xdr:col>3</xdr:col>
      <xdr:colOff>311150</xdr:colOff>
      <xdr:row>15</xdr:row>
      <xdr:rowOff>0</xdr:rowOff>
    </xdr:from>
    <xdr:to>
      <xdr:col>3</xdr:col>
      <xdr:colOff>463550</xdr:colOff>
      <xdr:row>16</xdr:row>
      <xdr:rowOff>0</xdr:rowOff>
    </xdr:to>
    <xdr:pic macro="[0]!AutoVBA.GotoLastPeriod">
      <xdr:nvPicPr>
        <xdr:cNvPr id="38" name="LastColBtn05" descr="lastcol">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692400" y="21526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15</xdr:row>
      <xdr:rowOff>0</xdr:rowOff>
    </xdr:from>
    <xdr:to>
      <xdr:col>3</xdr:col>
      <xdr:colOff>641350</xdr:colOff>
      <xdr:row>16</xdr:row>
      <xdr:rowOff>0</xdr:rowOff>
    </xdr:to>
    <xdr:pic macro="[0]!ToggleHistoryColumns">
      <xdr:nvPicPr>
        <xdr:cNvPr id="39" name="btnHistory05" descr="historybtn">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2152650"/>
          <a:ext cx="152400" cy="142875"/>
        </a:xfrm>
        <a:prstGeom prst="rect">
          <a:avLst/>
        </a:prstGeom>
        <a:noFill/>
        <a:ln w="9525">
          <a:noFill/>
          <a:miter lim="800000"/>
          <a:headEnd/>
          <a:tailEnd/>
        </a:ln>
      </xdr:spPr>
    </xdr:pic>
    <xdr:clientData fPrintsWithSheet="0"/>
  </xdr:twoCellAnchor>
  <xdr:twoCellAnchor editAs="oneCell">
    <xdr:from>
      <xdr:col>3</xdr:col>
      <xdr:colOff>171450</xdr:colOff>
      <xdr:row>15</xdr:row>
      <xdr:rowOff>0</xdr:rowOff>
    </xdr:from>
    <xdr:to>
      <xdr:col>3</xdr:col>
      <xdr:colOff>323850</xdr:colOff>
      <xdr:row>16</xdr:row>
      <xdr:rowOff>0</xdr:rowOff>
    </xdr:to>
    <xdr:pic macro="[0]!AutoVBA.GotoFirstPeriod">
      <xdr:nvPicPr>
        <xdr:cNvPr id="40" name="FirstColBtn05" descr="firstcol">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52700" y="215265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439</xdr:row>
      <xdr:rowOff>0</xdr:rowOff>
    </xdr:from>
    <xdr:to>
      <xdr:col>3</xdr:col>
      <xdr:colOff>476250</xdr:colOff>
      <xdr:row>440</xdr:row>
      <xdr:rowOff>0</xdr:rowOff>
    </xdr:to>
    <xdr:pic macro="[0]!AutoVBA.GotoLastPeriod">
      <xdr:nvPicPr>
        <xdr:cNvPr id="41" name="LastColBtn07" descr="lastcol">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640270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439</xdr:row>
      <xdr:rowOff>0</xdr:rowOff>
    </xdr:from>
    <xdr:to>
      <xdr:col>3</xdr:col>
      <xdr:colOff>641350</xdr:colOff>
      <xdr:row>440</xdr:row>
      <xdr:rowOff>0</xdr:rowOff>
    </xdr:to>
    <xdr:pic macro="[0]!ToggleHistoryColumns">
      <xdr:nvPicPr>
        <xdr:cNvPr id="42" name="btnHistory07" descr="historybtn">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6402705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439</xdr:row>
      <xdr:rowOff>0</xdr:rowOff>
    </xdr:from>
    <xdr:to>
      <xdr:col>3</xdr:col>
      <xdr:colOff>336550</xdr:colOff>
      <xdr:row>440</xdr:row>
      <xdr:rowOff>0</xdr:rowOff>
    </xdr:to>
    <xdr:pic macro="[0]!AutoVBA.GotoFirstPeriod">
      <xdr:nvPicPr>
        <xdr:cNvPr id="43" name="FirstColBtn" descr="firstcol">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6402705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542</xdr:row>
      <xdr:rowOff>0</xdr:rowOff>
    </xdr:from>
    <xdr:to>
      <xdr:col>3</xdr:col>
      <xdr:colOff>476250</xdr:colOff>
      <xdr:row>543</xdr:row>
      <xdr:rowOff>0</xdr:rowOff>
    </xdr:to>
    <xdr:pic macro="[0]!AutoVBA.GotoLastPeriod">
      <xdr:nvPicPr>
        <xdr:cNvPr id="44" name="LastColBtn08" descr="lastcol">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7608570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542</xdr:row>
      <xdr:rowOff>0</xdr:rowOff>
    </xdr:from>
    <xdr:to>
      <xdr:col>3</xdr:col>
      <xdr:colOff>641350</xdr:colOff>
      <xdr:row>543</xdr:row>
      <xdr:rowOff>0</xdr:rowOff>
    </xdr:to>
    <xdr:pic macro="[0]!ToggleHistoryColumns">
      <xdr:nvPicPr>
        <xdr:cNvPr id="45" name="btnHistory08" descr="historybtn">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7608570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542</xdr:row>
      <xdr:rowOff>0</xdr:rowOff>
    </xdr:from>
    <xdr:to>
      <xdr:col>3</xdr:col>
      <xdr:colOff>336550</xdr:colOff>
      <xdr:row>543</xdr:row>
      <xdr:rowOff>0</xdr:rowOff>
    </xdr:to>
    <xdr:pic macro="[0]!AutoVBA.GotoFirstPeriod">
      <xdr:nvPicPr>
        <xdr:cNvPr id="46" name="FirstColBtn08" descr="firstcol">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7608570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630</xdr:row>
      <xdr:rowOff>0</xdr:rowOff>
    </xdr:from>
    <xdr:to>
      <xdr:col>3</xdr:col>
      <xdr:colOff>476250</xdr:colOff>
      <xdr:row>631</xdr:row>
      <xdr:rowOff>0</xdr:rowOff>
    </xdr:to>
    <xdr:pic macro="[0]!AutoVBA.GotoLastPeriod">
      <xdr:nvPicPr>
        <xdr:cNvPr id="47" name="LastColBtn09" descr="lastcol">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806481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630</xdr:row>
      <xdr:rowOff>0</xdr:rowOff>
    </xdr:from>
    <xdr:to>
      <xdr:col>3</xdr:col>
      <xdr:colOff>641350</xdr:colOff>
      <xdr:row>631</xdr:row>
      <xdr:rowOff>0</xdr:rowOff>
    </xdr:to>
    <xdr:pic macro="[0]!ToggleHistoryColumns">
      <xdr:nvPicPr>
        <xdr:cNvPr id="48" name="btnHistory09" descr="historybtn">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80648175"/>
          <a:ext cx="152400" cy="142875"/>
        </a:xfrm>
        <a:prstGeom prst="rect">
          <a:avLst/>
        </a:prstGeom>
        <a:noFill/>
        <a:ln w="9525">
          <a:noFill/>
          <a:miter lim="800000"/>
          <a:headEnd/>
          <a:tailEnd/>
        </a:ln>
      </xdr:spPr>
    </xdr:pic>
    <xdr:clientData fPrintsWithSheet="0"/>
  </xdr:twoCellAnchor>
  <xdr:twoCellAnchor editAs="oneCell">
    <xdr:from>
      <xdr:col>3</xdr:col>
      <xdr:colOff>184150</xdr:colOff>
      <xdr:row>630</xdr:row>
      <xdr:rowOff>0</xdr:rowOff>
    </xdr:from>
    <xdr:to>
      <xdr:col>3</xdr:col>
      <xdr:colOff>336550</xdr:colOff>
      <xdr:row>631</xdr:row>
      <xdr:rowOff>0</xdr:rowOff>
    </xdr:to>
    <xdr:pic macro="[0]!AutoVBA.GotoFirstPeriod">
      <xdr:nvPicPr>
        <xdr:cNvPr id="49" name="FirstColBtn09" descr="firstcol">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80648175"/>
          <a:ext cx="152400" cy="142875"/>
        </a:xfrm>
        <a:prstGeom prst="rect">
          <a:avLst/>
        </a:prstGeom>
        <a:noFill/>
        <a:ln w="9525">
          <a:noFill/>
          <a:miter lim="800000"/>
          <a:headEnd/>
          <a:tailEnd/>
        </a:ln>
      </xdr:spPr>
    </xdr:pic>
    <xdr:clientData fPrintsWithSheet="0"/>
  </xdr:twoCellAnchor>
  <xdr:twoCellAnchor editAs="oneCell">
    <xdr:from>
      <xdr:col>3</xdr:col>
      <xdr:colOff>323850</xdr:colOff>
      <xdr:row>712</xdr:row>
      <xdr:rowOff>0</xdr:rowOff>
    </xdr:from>
    <xdr:to>
      <xdr:col>3</xdr:col>
      <xdr:colOff>476250</xdr:colOff>
      <xdr:row>713</xdr:row>
      <xdr:rowOff>0</xdr:rowOff>
    </xdr:to>
    <xdr:pic macro="[0]!AutoVBA.GotoLastPeriod">
      <xdr:nvPicPr>
        <xdr:cNvPr id="50" name="LastColBtn10" descr="lastcol">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9128760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712</xdr:row>
      <xdr:rowOff>0</xdr:rowOff>
    </xdr:from>
    <xdr:to>
      <xdr:col>3</xdr:col>
      <xdr:colOff>641350</xdr:colOff>
      <xdr:row>713</xdr:row>
      <xdr:rowOff>0</xdr:rowOff>
    </xdr:to>
    <xdr:pic macro="[0]!ToggleHistoryColumns">
      <xdr:nvPicPr>
        <xdr:cNvPr id="51" name="btnHistory10" descr="historybtn">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9128760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712</xdr:row>
      <xdr:rowOff>0</xdr:rowOff>
    </xdr:from>
    <xdr:to>
      <xdr:col>3</xdr:col>
      <xdr:colOff>336550</xdr:colOff>
      <xdr:row>713</xdr:row>
      <xdr:rowOff>0</xdr:rowOff>
    </xdr:to>
    <xdr:pic macro="[0]!AutoVBA.GotoFirstPeriod">
      <xdr:nvPicPr>
        <xdr:cNvPr id="52" name="FirstColBtn10" descr="firstcol">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91287600"/>
          <a:ext cx="152400" cy="142875"/>
        </a:xfrm>
        <a:prstGeom prst="rect">
          <a:avLst/>
        </a:prstGeom>
        <a:noFill/>
        <a:ln w="9525">
          <a:noFill/>
          <a:miter lim="800000"/>
          <a:headEnd/>
          <a:tailEnd/>
        </a:ln>
      </xdr:spPr>
    </xdr:pic>
    <xdr:clientData fPrintsWithSheet="0"/>
  </xdr:twoCellAnchor>
  <xdr:twoCellAnchor editAs="oneCell">
    <xdr:from>
      <xdr:col>1</xdr:col>
      <xdr:colOff>0</xdr:colOff>
      <xdr:row>15</xdr:row>
      <xdr:rowOff>0</xdr:rowOff>
    </xdr:from>
    <xdr:to>
      <xdr:col>1</xdr:col>
      <xdr:colOff>152400</xdr:colOff>
      <xdr:row>16</xdr:row>
      <xdr:rowOff>0</xdr:rowOff>
    </xdr:to>
    <xdr:pic macro="[0]!ShowHideRows">
      <xdr:nvPicPr>
        <xdr:cNvPr id="53" name="btnShowHide01" descr="showhidebtn">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2152650"/>
          <a:ext cx="152400" cy="142875"/>
        </a:xfrm>
        <a:prstGeom prst="rect">
          <a:avLst/>
        </a:prstGeom>
        <a:noFill/>
        <a:ln w="9525">
          <a:noFill/>
          <a:miter lim="800000"/>
          <a:headEnd/>
          <a:tailEnd/>
        </a:ln>
      </xdr:spPr>
    </xdr:pic>
    <xdr:clientData fPrintsWithSheet="0"/>
  </xdr:twoCellAnchor>
  <xdr:twoCellAnchor editAs="oneCell">
    <xdr:from>
      <xdr:col>1</xdr:col>
      <xdr:colOff>0</xdr:colOff>
      <xdr:row>439</xdr:row>
      <xdr:rowOff>0</xdr:rowOff>
    </xdr:from>
    <xdr:to>
      <xdr:col>1</xdr:col>
      <xdr:colOff>152400</xdr:colOff>
      <xdr:row>440</xdr:row>
      <xdr:rowOff>0</xdr:rowOff>
    </xdr:to>
    <xdr:pic macro="[0]!ShowHideProfitRows">
      <xdr:nvPicPr>
        <xdr:cNvPr id="54" name="btnShowHide02" descr="showhidebtn">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64027050"/>
          <a:ext cx="152400" cy="142875"/>
        </a:xfrm>
        <a:prstGeom prst="rect">
          <a:avLst/>
        </a:prstGeom>
        <a:noFill/>
        <a:ln w="9525">
          <a:noFill/>
          <a:miter lim="800000"/>
          <a:headEnd/>
          <a:tailEnd/>
        </a:ln>
      </xdr:spPr>
    </xdr:pic>
    <xdr:clientData fPrintsWithSheet="0"/>
  </xdr:twoCellAnchor>
  <xdr:twoCellAnchor editAs="oneCell">
    <xdr:from>
      <xdr:col>1</xdr:col>
      <xdr:colOff>0</xdr:colOff>
      <xdr:row>542</xdr:row>
      <xdr:rowOff>0</xdr:rowOff>
    </xdr:from>
    <xdr:to>
      <xdr:col>1</xdr:col>
      <xdr:colOff>152400</xdr:colOff>
      <xdr:row>543</xdr:row>
      <xdr:rowOff>0</xdr:rowOff>
    </xdr:to>
    <xdr:pic macro="[0]!ShowHideProfitRows">
      <xdr:nvPicPr>
        <xdr:cNvPr id="55" name="btnShowHide03" descr="showhidebt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76085700"/>
          <a:ext cx="152400" cy="142875"/>
        </a:xfrm>
        <a:prstGeom prst="rect">
          <a:avLst/>
        </a:prstGeom>
        <a:noFill/>
        <a:ln w="9525">
          <a:noFill/>
          <a:miter lim="800000"/>
          <a:headEnd/>
          <a:tailEnd/>
        </a:ln>
      </xdr:spPr>
    </xdr:pic>
    <xdr:clientData fPrintsWithSheet="0"/>
  </xdr:twoCellAnchor>
  <xdr:twoCellAnchor editAs="oneCell">
    <xdr:from>
      <xdr:col>1</xdr:col>
      <xdr:colOff>0</xdr:colOff>
      <xdr:row>630</xdr:row>
      <xdr:rowOff>0</xdr:rowOff>
    </xdr:from>
    <xdr:to>
      <xdr:col>1</xdr:col>
      <xdr:colOff>152400</xdr:colOff>
      <xdr:row>631</xdr:row>
      <xdr:rowOff>0</xdr:rowOff>
    </xdr:to>
    <xdr:pic macro="[0]!ShowHideProfitRows">
      <xdr:nvPicPr>
        <xdr:cNvPr id="56" name="btnShowHide04" descr="showhidebtn">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80648175"/>
          <a:ext cx="152400" cy="142875"/>
        </a:xfrm>
        <a:prstGeom prst="rect">
          <a:avLst/>
        </a:prstGeom>
        <a:noFill/>
        <a:ln w="9525">
          <a:noFill/>
          <a:miter lim="800000"/>
          <a:headEnd/>
          <a:tailEnd/>
        </a:ln>
      </xdr:spPr>
    </xdr:pic>
    <xdr:clientData fPrintsWithSheet="0"/>
  </xdr:twoCellAnchor>
  <xdr:twoCellAnchor editAs="oneCell">
    <xdr:from>
      <xdr:col>1</xdr:col>
      <xdr:colOff>0</xdr:colOff>
      <xdr:row>712</xdr:row>
      <xdr:rowOff>0</xdr:rowOff>
    </xdr:from>
    <xdr:to>
      <xdr:col>1</xdr:col>
      <xdr:colOff>152400</xdr:colOff>
      <xdr:row>713</xdr:row>
      <xdr:rowOff>0</xdr:rowOff>
    </xdr:to>
    <xdr:pic macro="[0]!ShowHideProfitRows">
      <xdr:nvPicPr>
        <xdr:cNvPr id="57" name="btnShowHide05" descr="showhidebtn">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912876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442</xdr:row>
      <xdr:rowOff>0</xdr:rowOff>
    </xdr:from>
    <xdr:to>
      <xdr:col>2</xdr:col>
      <xdr:colOff>0</xdr:colOff>
      <xdr:row>443</xdr:row>
      <xdr:rowOff>0</xdr:rowOff>
    </xdr:to>
    <xdr:pic macro="[0]!ToggleRowSpec">
      <xdr:nvPicPr>
        <xdr:cNvPr id="58" name="btnRSpec001" descr="rspecB">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455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446</xdr:row>
      <xdr:rowOff>0</xdr:rowOff>
    </xdr:from>
    <xdr:to>
      <xdr:col>2</xdr:col>
      <xdr:colOff>0</xdr:colOff>
      <xdr:row>455</xdr:row>
      <xdr:rowOff>142875</xdr:rowOff>
    </xdr:to>
    <xdr:pic macro="[0]!ToggleRowSpec">
      <xdr:nvPicPr>
        <xdr:cNvPr id="59" name="btnRSpec002" descr="rspecB" hidden="1">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5985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447</xdr:row>
      <xdr:rowOff>0</xdr:rowOff>
    </xdr:from>
    <xdr:to>
      <xdr:col>2</xdr:col>
      <xdr:colOff>0</xdr:colOff>
      <xdr:row>455</xdr:row>
      <xdr:rowOff>142875</xdr:rowOff>
    </xdr:to>
    <xdr:pic macro="[0]!ToggleRowSpec">
      <xdr:nvPicPr>
        <xdr:cNvPr id="60" name="btnRSpec003" descr="rspecB" hidden="1">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41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448</xdr:row>
      <xdr:rowOff>0</xdr:rowOff>
    </xdr:from>
    <xdr:to>
      <xdr:col>2</xdr:col>
      <xdr:colOff>0</xdr:colOff>
      <xdr:row>455</xdr:row>
      <xdr:rowOff>142875</xdr:rowOff>
    </xdr:to>
    <xdr:pic macro="[0]!ToggleRowSpec">
      <xdr:nvPicPr>
        <xdr:cNvPr id="61" name="btnRSpec004" descr="rspecB" hidden="1">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8843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449</xdr:row>
      <xdr:rowOff>0</xdr:rowOff>
    </xdr:from>
    <xdr:to>
      <xdr:col>2</xdr:col>
      <xdr:colOff>0</xdr:colOff>
      <xdr:row>455</xdr:row>
      <xdr:rowOff>142875</xdr:rowOff>
    </xdr:to>
    <xdr:pic macro="[0]!ToggleRowSpec">
      <xdr:nvPicPr>
        <xdr:cNvPr id="62" name="btnRSpec005" descr="rspecB" hidden="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027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457</xdr:row>
      <xdr:rowOff>4763</xdr:rowOff>
    </xdr:from>
    <xdr:to>
      <xdr:col>2</xdr:col>
      <xdr:colOff>0</xdr:colOff>
      <xdr:row>458</xdr:row>
      <xdr:rowOff>4763</xdr:rowOff>
    </xdr:to>
    <xdr:pic macro="[0]!ToggleRowSpec">
      <xdr:nvPicPr>
        <xdr:cNvPr id="63" name="btnRSpec030" descr="rspecB">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37380863"/>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459</xdr:row>
      <xdr:rowOff>0</xdr:rowOff>
    </xdr:from>
    <xdr:to>
      <xdr:col>2</xdr:col>
      <xdr:colOff>0</xdr:colOff>
      <xdr:row>460</xdr:row>
      <xdr:rowOff>0</xdr:rowOff>
    </xdr:to>
    <xdr:pic macro="[0]!ToggleRowSpec">
      <xdr:nvPicPr>
        <xdr:cNvPr id="64" name="btnRSpec006" descr="rspecB">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7701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462</xdr:row>
      <xdr:rowOff>0</xdr:rowOff>
    </xdr:from>
    <xdr:to>
      <xdr:col>2</xdr:col>
      <xdr:colOff>0</xdr:colOff>
      <xdr:row>472</xdr:row>
      <xdr:rowOff>0</xdr:rowOff>
    </xdr:to>
    <xdr:pic macro="[0]!ToggleRowSpec">
      <xdr:nvPicPr>
        <xdr:cNvPr id="65" name="btnRSpec007" descr="rspecB" hidden="1">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913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463</xdr:row>
      <xdr:rowOff>0</xdr:rowOff>
    </xdr:from>
    <xdr:to>
      <xdr:col>2</xdr:col>
      <xdr:colOff>0</xdr:colOff>
      <xdr:row>472</xdr:row>
      <xdr:rowOff>0</xdr:rowOff>
    </xdr:to>
    <xdr:pic macro="[0]!ToggleRowSpec">
      <xdr:nvPicPr>
        <xdr:cNvPr id="66" name="btnRSpec008" descr="rspecB" hidden="1">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0558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464</xdr:row>
      <xdr:rowOff>0</xdr:rowOff>
    </xdr:from>
    <xdr:to>
      <xdr:col>2</xdr:col>
      <xdr:colOff>0</xdr:colOff>
      <xdr:row>472</xdr:row>
      <xdr:rowOff>0</xdr:rowOff>
    </xdr:to>
    <xdr:pic macro="[0]!ToggleRowSpec">
      <xdr:nvPicPr>
        <xdr:cNvPr id="67" name="btnRSpec009" descr="rspecB" hidden="1">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1987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475</xdr:row>
      <xdr:rowOff>0</xdr:rowOff>
    </xdr:from>
    <xdr:to>
      <xdr:col>2</xdr:col>
      <xdr:colOff>0</xdr:colOff>
      <xdr:row>478</xdr:row>
      <xdr:rowOff>0</xdr:rowOff>
    </xdr:to>
    <xdr:pic macro="[0]!ToggleRowSpec">
      <xdr:nvPicPr>
        <xdr:cNvPr id="68" name="btnRSpec010" descr="rspecB" hidden="1">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1988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476</xdr:row>
      <xdr:rowOff>0</xdr:rowOff>
    </xdr:from>
    <xdr:to>
      <xdr:col>2</xdr:col>
      <xdr:colOff>0</xdr:colOff>
      <xdr:row>478</xdr:row>
      <xdr:rowOff>0</xdr:rowOff>
    </xdr:to>
    <xdr:pic macro="[0]!ToggleRowSpec">
      <xdr:nvPicPr>
        <xdr:cNvPr id="69" name="btnRSpec011" descr="rspecB" hidden="1">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3417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477</xdr:row>
      <xdr:rowOff>0</xdr:rowOff>
    </xdr:from>
    <xdr:to>
      <xdr:col>2</xdr:col>
      <xdr:colOff>0</xdr:colOff>
      <xdr:row>478</xdr:row>
      <xdr:rowOff>0</xdr:rowOff>
    </xdr:to>
    <xdr:pic macro="[0]!ToggleRowSpec">
      <xdr:nvPicPr>
        <xdr:cNvPr id="70" name="btnRSpec012" descr="rspecB">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4846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478</xdr:row>
      <xdr:rowOff>0</xdr:rowOff>
    </xdr:from>
    <xdr:to>
      <xdr:col>2</xdr:col>
      <xdr:colOff>0</xdr:colOff>
      <xdr:row>487</xdr:row>
      <xdr:rowOff>142875</xdr:rowOff>
    </xdr:to>
    <xdr:pic macro="[0]!ToggleRowSpec">
      <xdr:nvPicPr>
        <xdr:cNvPr id="71" name="btnRSpec013" descr="rspecB" hidden="1">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6275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479</xdr:row>
      <xdr:rowOff>0</xdr:rowOff>
    </xdr:from>
    <xdr:to>
      <xdr:col>2</xdr:col>
      <xdr:colOff>0</xdr:colOff>
      <xdr:row>487</xdr:row>
      <xdr:rowOff>142875</xdr:rowOff>
    </xdr:to>
    <xdr:pic macro="[0]!ToggleRowSpec">
      <xdr:nvPicPr>
        <xdr:cNvPr id="72" name="btnRSpec014" descr="rspecB" hidden="1">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7703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480</xdr:row>
      <xdr:rowOff>0</xdr:rowOff>
    </xdr:from>
    <xdr:to>
      <xdr:col>2</xdr:col>
      <xdr:colOff>0</xdr:colOff>
      <xdr:row>487</xdr:row>
      <xdr:rowOff>142875</xdr:rowOff>
    </xdr:to>
    <xdr:pic macro="[0]!ToggleRowSpec">
      <xdr:nvPicPr>
        <xdr:cNvPr id="73" name="btnRSpec015" descr="rspecB" hidden="1">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9132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497</xdr:row>
      <xdr:rowOff>0</xdr:rowOff>
    </xdr:from>
    <xdr:to>
      <xdr:col>2</xdr:col>
      <xdr:colOff>0</xdr:colOff>
      <xdr:row>498</xdr:row>
      <xdr:rowOff>0</xdr:rowOff>
    </xdr:to>
    <xdr:pic macro="[0]!ToggleRowSpec">
      <xdr:nvPicPr>
        <xdr:cNvPr id="74" name="btnRSpec016" descr="rspecB">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96658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502</xdr:row>
      <xdr:rowOff>0</xdr:rowOff>
    </xdr:from>
    <xdr:to>
      <xdr:col>2</xdr:col>
      <xdr:colOff>0</xdr:colOff>
      <xdr:row>503</xdr:row>
      <xdr:rowOff>0</xdr:rowOff>
    </xdr:to>
    <xdr:pic macro="[0]!ToggleRowSpec">
      <xdr:nvPicPr>
        <xdr:cNvPr id="75" name="btnRSpec000" descr="rspecB">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703802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498</xdr:row>
      <xdr:rowOff>0</xdr:rowOff>
    </xdr:from>
    <xdr:to>
      <xdr:col>2</xdr:col>
      <xdr:colOff>0</xdr:colOff>
      <xdr:row>499</xdr:row>
      <xdr:rowOff>0</xdr:rowOff>
    </xdr:to>
    <xdr:pic macro="[0]!FinUpdateFigures">
      <xdr:nvPicPr>
        <xdr:cNvPr id="76" name="btnFinUpdate01" descr="huutomerkki">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0800" y="698087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19</xdr:row>
      <xdr:rowOff>9525</xdr:rowOff>
    </xdr:from>
    <xdr:to>
      <xdr:col>2</xdr:col>
      <xdr:colOff>0</xdr:colOff>
      <xdr:row>20</xdr:row>
      <xdr:rowOff>9525</xdr:rowOff>
    </xdr:to>
    <xdr:pic macro="[0]!ChangeDepr">
      <xdr:nvPicPr>
        <xdr:cNvPr id="77" name="btnInv01" descr="timebtn2b">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33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29</xdr:row>
      <xdr:rowOff>9525</xdr:rowOff>
    </xdr:from>
    <xdr:to>
      <xdr:col>2</xdr:col>
      <xdr:colOff>0</xdr:colOff>
      <xdr:row>30</xdr:row>
      <xdr:rowOff>9525</xdr:rowOff>
    </xdr:to>
    <xdr:pic macro="[0]!ChangeDepr">
      <xdr:nvPicPr>
        <xdr:cNvPr id="78" name="btnInv02" descr="timebtn2b">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62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39</xdr:row>
      <xdr:rowOff>9525</xdr:rowOff>
    </xdr:from>
    <xdr:to>
      <xdr:col>2</xdr:col>
      <xdr:colOff>0</xdr:colOff>
      <xdr:row>40</xdr:row>
      <xdr:rowOff>9525</xdr:rowOff>
    </xdr:to>
    <xdr:pic macro="[0]!ChangeDepr">
      <xdr:nvPicPr>
        <xdr:cNvPr id="79" name="btnInv03" descr="timebtn2b">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5591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xdr:row>
      <xdr:rowOff>9525</xdr:rowOff>
    </xdr:from>
    <xdr:to>
      <xdr:col>2</xdr:col>
      <xdr:colOff>0</xdr:colOff>
      <xdr:row>50</xdr:row>
      <xdr:rowOff>9525</xdr:rowOff>
    </xdr:to>
    <xdr:pic macro="[0]!ChangeDepr">
      <xdr:nvPicPr>
        <xdr:cNvPr id="80" name="btnInv04" descr="timebtn2b">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7019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59</xdr:row>
      <xdr:rowOff>9525</xdr:rowOff>
    </xdr:from>
    <xdr:to>
      <xdr:col>2</xdr:col>
      <xdr:colOff>0</xdr:colOff>
      <xdr:row>318</xdr:row>
      <xdr:rowOff>0</xdr:rowOff>
    </xdr:to>
    <xdr:pic macro="[0]!ChangeDepr">
      <xdr:nvPicPr>
        <xdr:cNvPr id="81" name="btnInv05" descr="timebtn2b" hidden="1">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8448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69</xdr:row>
      <xdr:rowOff>9525</xdr:rowOff>
    </xdr:from>
    <xdr:to>
      <xdr:col>2</xdr:col>
      <xdr:colOff>0</xdr:colOff>
      <xdr:row>318</xdr:row>
      <xdr:rowOff>0</xdr:rowOff>
    </xdr:to>
    <xdr:pic macro="[0]!ChangeDepr">
      <xdr:nvPicPr>
        <xdr:cNvPr id="82" name="btnInv06" descr="timebtn2b" hidden="1">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9877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79</xdr:row>
      <xdr:rowOff>9525</xdr:rowOff>
    </xdr:from>
    <xdr:to>
      <xdr:col>2</xdr:col>
      <xdr:colOff>0</xdr:colOff>
      <xdr:row>318</xdr:row>
      <xdr:rowOff>0</xdr:rowOff>
    </xdr:to>
    <xdr:pic macro="[0]!ChangeDepr">
      <xdr:nvPicPr>
        <xdr:cNvPr id="83" name="btnInv07" descr="timebtn2b" hidden="1">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1306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89</xdr:row>
      <xdr:rowOff>9525</xdr:rowOff>
    </xdr:from>
    <xdr:to>
      <xdr:col>2</xdr:col>
      <xdr:colOff>0</xdr:colOff>
      <xdr:row>318</xdr:row>
      <xdr:rowOff>0</xdr:rowOff>
    </xdr:to>
    <xdr:pic macro="[0]!ChangeDepr">
      <xdr:nvPicPr>
        <xdr:cNvPr id="84" name="btnInv08" descr="timebtn2b" hidden="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273492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514</xdr:row>
      <xdr:rowOff>9525</xdr:rowOff>
    </xdr:from>
    <xdr:to>
      <xdr:col>3</xdr:col>
      <xdr:colOff>641350</xdr:colOff>
      <xdr:row>515</xdr:row>
      <xdr:rowOff>9525</xdr:rowOff>
    </xdr:to>
    <xdr:pic macro="[0]!Ratios">
      <xdr:nvPicPr>
        <xdr:cNvPr id="85" name="btnRatios" descr="timebtn2b">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72104250"/>
          <a:ext cx="152400" cy="142875"/>
        </a:xfrm>
        <a:prstGeom prst="rect">
          <a:avLst/>
        </a:prstGeom>
        <a:noFill/>
        <a:ln w="9525">
          <a:noFill/>
          <a:miter lim="800000"/>
          <a:headEnd/>
          <a:tailEnd/>
        </a:ln>
      </xdr:spPr>
    </xdr:pic>
    <xdr:clientData fPrintsWithSheet="0"/>
  </xdr:twoCellAnchor>
  <xdr:twoCellAnchor editAs="oneCell">
    <xdr:from>
      <xdr:col>1</xdr:col>
      <xdr:colOff>152400</xdr:colOff>
      <xdr:row>630</xdr:row>
      <xdr:rowOff>0</xdr:rowOff>
    </xdr:from>
    <xdr:to>
      <xdr:col>2</xdr:col>
      <xdr:colOff>142875</xdr:colOff>
      <xdr:row>631</xdr:row>
      <xdr:rowOff>0</xdr:rowOff>
    </xdr:to>
    <xdr:pic macro="[0]!ToggleAllDetail">
      <xdr:nvPicPr>
        <xdr:cNvPr id="86" name="btnCFDetail" descr="rspec2">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90500" y="80648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688</xdr:row>
      <xdr:rowOff>9525</xdr:rowOff>
    </xdr:from>
    <xdr:to>
      <xdr:col>2</xdr:col>
      <xdr:colOff>0</xdr:colOff>
      <xdr:row>689</xdr:row>
      <xdr:rowOff>0</xdr:rowOff>
    </xdr:to>
    <xdr:pic macro="[0]!ToggleRowSpecBal">
      <xdr:nvPicPr>
        <xdr:cNvPr id="87" name="btnRSpec021" descr="rspec2b">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78109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700</xdr:row>
      <xdr:rowOff>9525</xdr:rowOff>
    </xdr:from>
    <xdr:to>
      <xdr:col>2</xdr:col>
      <xdr:colOff>0</xdr:colOff>
      <xdr:row>706</xdr:row>
      <xdr:rowOff>142875</xdr:rowOff>
    </xdr:to>
    <xdr:pic macro="[0]!ToggleRowSpecBal">
      <xdr:nvPicPr>
        <xdr:cNvPr id="88" name="btnRSpec022" descr="rspec2b" hidden="1">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9487375"/>
          <a:ext cx="152400" cy="149225"/>
        </a:xfrm>
        <a:prstGeom prst="rect">
          <a:avLst/>
        </a:prstGeom>
        <a:noFill/>
        <a:ln w="9525">
          <a:noFill/>
          <a:miter lim="800000"/>
          <a:headEnd/>
          <a:tailEnd/>
        </a:ln>
      </xdr:spPr>
    </xdr:pic>
    <xdr:clientData fPrintsWithSheet="0"/>
  </xdr:twoCellAnchor>
  <xdr:twoCellAnchor editAs="oneCell">
    <xdr:from>
      <xdr:col>1</xdr:col>
      <xdr:colOff>152400</xdr:colOff>
      <xdr:row>712</xdr:row>
      <xdr:rowOff>0</xdr:rowOff>
    </xdr:from>
    <xdr:to>
      <xdr:col>2</xdr:col>
      <xdr:colOff>142875</xdr:colOff>
      <xdr:row>713</xdr:row>
      <xdr:rowOff>0</xdr:rowOff>
    </xdr:to>
    <xdr:pic macro="[0]!ToggleAllDetail">
      <xdr:nvPicPr>
        <xdr:cNvPr id="89" name="btnBalDetail" descr="rspec2">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90500" y="912876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716</xdr:row>
      <xdr:rowOff>28575</xdr:rowOff>
    </xdr:from>
    <xdr:to>
      <xdr:col>2</xdr:col>
      <xdr:colOff>0</xdr:colOff>
      <xdr:row>717</xdr:row>
      <xdr:rowOff>0</xdr:rowOff>
    </xdr:to>
    <xdr:pic macro="[0]!ToggleRowSpecBal">
      <xdr:nvPicPr>
        <xdr:cNvPr id="90" name="btnRSpec018" descr="rspec2b">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1925775"/>
          <a:ext cx="152400" cy="136525"/>
        </a:xfrm>
        <a:prstGeom prst="rect">
          <a:avLst/>
        </a:prstGeom>
        <a:noFill/>
        <a:ln w="9525">
          <a:noFill/>
          <a:miter lim="800000"/>
          <a:headEnd/>
          <a:tailEnd/>
        </a:ln>
      </xdr:spPr>
    </xdr:pic>
    <xdr:clientData fPrintsWithSheet="0"/>
  </xdr:twoCellAnchor>
  <xdr:twoCellAnchor editAs="oneCell">
    <xdr:from>
      <xdr:col>1</xdr:col>
      <xdr:colOff>12700</xdr:colOff>
      <xdr:row>733</xdr:row>
      <xdr:rowOff>19050</xdr:rowOff>
    </xdr:from>
    <xdr:to>
      <xdr:col>2</xdr:col>
      <xdr:colOff>0</xdr:colOff>
      <xdr:row>734</xdr:row>
      <xdr:rowOff>0</xdr:rowOff>
    </xdr:to>
    <xdr:pic macro="[0]!ToggleRowSpecBal">
      <xdr:nvPicPr>
        <xdr:cNvPr id="91" name="btnRSpec019" descr="rspec2b">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48213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754</xdr:row>
      <xdr:rowOff>9525</xdr:rowOff>
    </xdr:from>
    <xdr:to>
      <xdr:col>2</xdr:col>
      <xdr:colOff>0</xdr:colOff>
      <xdr:row>754</xdr:row>
      <xdr:rowOff>158750</xdr:rowOff>
    </xdr:to>
    <xdr:pic macro="[0]!ToggleRowSpecBal">
      <xdr:nvPicPr>
        <xdr:cNvPr id="92" name="btnRSpec020" descr="rspec2b">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8450400"/>
          <a:ext cx="152400" cy="149225"/>
        </a:xfrm>
        <a:prstGeom prst="rect">
          <a:avLst/>
        </a:prstGeom>
        <a:noFill/>
        <a:ln w="9525">
          <a:noFill/>
          <a:miter lim="800000"/>
          <a:headEnd/>
          <a:tailEnd/>
        </a:ln>
      </xdr:spPr>
    </xdr:pic>
    <xdr:clientData fPrintsWithSheet="0"/>
  </xdr:twoCellAnchor>
  <xdr:twoCellAnchor editAs="oneCell">
    <xdr:from>
      <xdr:col>1</xdr:col>
      <xdr:colOff>12700</xdr:colOff>
      <xdr:row>809</xdr:row>
      <xdr:rowOff>28575</xdr:rowOff>
    </xdr:from>
    <xdr:to>
      <xdr:col>2</xdr:col>
      <xdr:colOff>0</xdr:colOff>
      <xdr:row>810</xdr:row>
      <xdr:rowOff>0</xdr:rowOff>
    </xdr:to>
    <xdr:pic macro="[0]!ToggleRowSpecBal">
      <xdr:nvPicPr>
        <xdr:cNvPr id="93" name="btnRSpec026" descr="rspec2b">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107137200"/>
          <a:ext cx="152400" cy="139700"/>
        </a:xfrm>
        <a:prstGeom prst="rect">
          <a:avLst/>
        </a:prstGeom>
        <a:noFill/>
        <a:ln w="9525">
          <a:noFill/>
          <a:miter lim="800000"/>
          <a:headEnd/>
          <a:tailEnd/>
        </a:ln>
      </xdr:spPr>
    </xdr:pic>
    <xdr:clientData fPrintsWithSheet="0"/>
  </xdr:twoCellAnchor>
  <xdr:twoCellAnchor editAs="oneCell">
    <xdr:from>
      <xdr:col>1</xdr:col>
      <xdr:colOff>12700</xdr:colOff>
      <xdr:row>815</xdr:row>
      <xdr:rowOff>19050</xdr:rowOff>
    </xdr:from>
    <xdr:to>
      <xdr:col>2</xdr:col>
      <xdr:colOff>0</xdr:colOff>
      <xdr:row>816</xdr:row>
      <xdr:rowOff>0</xdr:rowOff>
    </xdr:to>
    <xdr:pic macro="[0]!ToggleRowSpecBal">
      <xdr:nvPicPr>
        <xdr:cNvPr id="94" name="btnRSpec027" descr="rspec2b">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107937300"/>
          <a:ext cx="152400" cy="142875"/>
        </a:xfrm>
        <a:prstGeom prst="rect">
          <a:avLst/>
        </a:prstGeom>
        <a:noFill/>
        <a:ln w="9525">
          <a:noFill/>
          <a:miter lim="800000"/>
          <a:headEnd/>
          <a:tailEnd/>
        </a:ln>
      </xdr:spPr>
    </xdr:pic>
    <xdr:clientData fPrintsWithSheet="0"/>
  </xdr:twoCellAnchor>
  <xdr:twoCellAnchor editAs="oneCell">
    <xdr:from>
      <xdr:col>2</xdr:col>
      <xdr:colOff>3175</xdr:colOff>
      <xdr:row>690</xdr:row>
      <xdr:rowOff>19050</xdr:rowOff>
    </xdr:from>
    <xdr:to>
      <xdr:col>2</xdr:col>
      <xdr:colOff>155575</xdr:colOff>
      <xdr:row>695</xdr:row>
      <xdr:rowOff>142875</xdr:rowOff>
    </xdr:to>
    <xdr:pic macro="[0]!ToggleRowSpec">
      <xdr:nvPicPr>
        <xdr:cNvPr id="95" name="btnRSpec017" descr="rspecB" hidden="1">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03200" y="88125300"/>
          <a:ext cx="152400" cy="142875"/>
        </a:xfrm>
        <a:prstGeom prst="rect">
          <a:avLst/>
        </a:prstGeom>
        <a:noFill/>
        <a:ln w="9525">
          <a:noFill/>
          <a:miter lim="800000"/>
          <a:headEnd/>
          <a:tailEnd/>
        </a:ln>
      </xdr:spPr>
    </xdr:pic>
    <xdr:clientData fPrintsWithSheet="0"/>
  </xdr:twoCellAnchor>
  <xdr:twoCellAnchor editAs="oneCell">
    <xdr:from>
      <xdr:col>2</xdr:col>
      <xdr:colOff>3175</xdr:colOff>
      <xdr:row>691</xdr:row>
      <xdr:rowOff>9525</xdr:rowOff>
    </xdr:from>
    <xdr:to>
      <xdr:col>2</xdr:col>
      <xdr:colOff>155575</xdr:colOff>
      <xdr:row>695</xdr:row>
      <xdr:rowOff>142875</xdr:rowOff>
    </xdr:to>
    <xdr:pic macro="[0]!FinUpdateFigures">
      <xdr:nvPicPr>
        <xdr:cNvPr id="96" name="btnFinUpdate02" descr="huutomerkki" hidden="1">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03200" y="882681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424</xdr:row>
      <xdr:rowOff>0</xdr:rowOff>
    </xdr:from>
    <xdr:to>
      <xdr:col>3</xdr:col>
      <xdr:colOff>641350</xdr:colOff>
      <xdr:row>436</xdr:row>
      <xdr:rowOff>98425</xdr:rowOff>
    </xdr:to>
    <xdr:pic macro="[0]!GoodwillDetails">
      <xdr:nvPicPr>
        <xdr:cNvPr id="97" name="btnGW" descr="timebtn2b" hidden="1">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61798200"/>
          <a:ext cx="152400" cy="146050"/>
        </a:xfrm>
        <a:prstGeom prst="rect">
          <a:avLst/>
        </a:prstGeom>
        <a:noFill/>
        <a:ln w="9525">
          <a:noFill/>
          <a:miter lim="800000"/>
          <a:headEnd/>
          <a:tailEnd/>
        </a:ln>
      </xdr:spPr>
    </xdr:pic>
    <xdr:clientData fPrintsWithSheet="0"/>
  </xdr:twoCellAnchor>
  <xdr:twoCellAnchor editAs="oneCell">
    <xdr:from>
      <xdr:col>3</xdr:col>
      <xdr:colOff>488950</xdr:colOff>
      <xdr:row>429</xdr:row>
      <xdr:rowOff>9525</xdr:rowOff>
    </xdr:from>
    <xdr:to>
      <xdr:col>3</xdr:col>
      <xdr:colOff>641350</xdr:colOff>
      <xdr:row>436</xdr:row>
      <xdr:rowOff>98425</xdr:rowOff>
    </xdr:to>
    <xdr:pic macro="[0]!GroupLoan">
      <xdr:nvPicPr>
        <xdr:cNvPr id="98" name="btnAcqDebt" descr="timebtn2b" hidden="1">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625697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99</xdr:row>
      <xdr:rowOff>9525</xdr:rowOff>
    </xdr:from>
    <xdr:to>
      <xdr:col>2</xdr:col>
      <xdr:colOff>0</xdr:colOff>
      <xdr:row>318</xdr:row>
      <xdr:rowOff>0</xdr:rowOff>
    </xdr:to>
    <xdr:pic macro="[0]!ChangeDepr">
      <xdr:nvPicPr>
        <xdr:cNvPr id="99" name="btnInv09" descr="timebtn2b" hidden="1">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416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109</xdr:row>
      <xdr:rowOff>9525</xdr:rowOff>
    </xdr:from>
    <xdr:to>
      <xdr:col>2</xdr:col>
      <xdr:colOff>0</xdr:colOff>
      <xdr:row>318</xdr:row>
      <xdr:rowOff>0</xdr:rowOff>
    </xdr:to>
    <xdr:pic macro="[0]!ChangeDepr">
      <xdr:nvPicPr>
        <xdr:cNvPr id="100" name="btnInv10" descr="timebtn2b" hidden="1">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559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119</xdr:row>
      <xdr:rowOff>9525</xdr:rowOff>
    </xdr:from>
    <xdr:to>
      <xdr:col>2</xdr:col>
      <xdr:colOff>0</xdr:colOff>
      <xdr:row>318</xdr:row>
      <xdr:rowOff>6350</xdr:rowOff>
    </xdr:to>
    <xdr:pic macro="[0]!ChangeDepr">
      <xdr:nvPicPr>
        <xdr:cNvPr id="101" name="btnInv11" descr="timebtn2b" hidden="1">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702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129</xdr:row>
      <xdr:rowOff>9525</xdr:rowOff>
    </xdr:from>
    <xdr:to>
      <xdr:col>2</xdr:col>
      <xdr:colOff>0</xdr:colOff>
      <xdr:row>318</xdr:row>
      <xdr:rowOff>6350</xdr:rowOff>
    </xdr:to>
    <xdr:pic macro="[0]!ChangeDepr">
      <xdr:nvPicPr>
        <xdr:cNvPr id="102" name="btnInv12" descr="timebtn2b" hidden="1">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844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139</xdr:row>
      <xdr:rowOff>9525</xdr:rowOff>
    </xdr:from>
    <xdr:to>
      <xdr:col>2</xdr:col>
      <xdr:colOff>0</xdr:colOff>
      <xdr:row>318</xdr:row>
      <xdr:rowOff>6350</xdr:rowOff>
    </xdr:to>
    <xdr:pic macro="[0]!ChangeDepr">
      <xdr:nvPicPr>
        <xdr:cNvPr id="103" name="btnInv13" descr="timebtn2b" hidden="1">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987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149</xdr:row>
      <xdr:rowOff>9525</xdr:rowOff>
    </xdr:from>
    <xdr:to>
      <xdr:col>2</xdr:col>
      <xdr:colOff>0</xdr:colOff>
      <xdr:row>318</xdr:row>
      <xdr:rowOff>6350</xdr:rowOff>
    </xdr:to>
    <xdr:pic macro="[0]!ChangeDepr">
      <xdr:nvPicPr>
        <xdr:cNvPr id="104" name="btnInv14" descr="timebtn2b" hidden="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1307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159</xdr:row>
      <xdr:rowOff>9525</xdr:rowOff>
    </xdr:from>
    <xdr:to>
      <xdr:col>2</xdr:col>
      <xdr:colOff>0</xdr:colOff>
      <xdr:row>318</xdr:row>
      <xdr:rowOff>6350</xdr:rowOff>
    </xdr:to>
    <xdr:pic macro="[0]!ChangeDepr">
      <xdr:nvPicPr>
        <xdr:cNvPr id="105" name="btnInv15" descr="timebtn2b" hidden="1">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2736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169</xdr:row>
      <xdr:rowOff>9525</xdr:rowOff>
    </xdr:from>
    <xdr:to>
      <xdr:col>2</xdr:col>
      <xdr:colOff>0</xdr:colOff>
      <xdr:row>318</xdr:row>
      <xdr:rowOff>6350</xdr:rowOff>
    </xdr:to>
    <xdr:pic macro="[0]!ChangeDepr">
      <xdr:nvPicPr>
        <xdr:cNvPr id="106" name="btnInv16" descr="timebtn2b" hidden="1">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4164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179</xdr:row>
      <xdr:rowOff>9525</xdr:rowOff>
    </xdr:from>
    <xdr:to>
      <xdr:col>2</xdr:col>
      <xdr:colOff>0</xdr:colOff>
      <xdr:row>318</xdr:row>
      <xdr:rowOff>6350</xdr:rowOff>
    </xdr:to>
    <xdr:pic macro="[0]!ChangeDepr">
      <xdr:nvPicPr>
        <xdr:cNvPr id="107" name="btnInv17" descr="timebtn2b" hidden="1">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559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189</xdr:row>
      <xdr:rowOff>9525</xdr:rowOff>
    </xdr:from>
    <xdr:to>
      <xdr:col>2</xdr:col>
      <xdr:colOff>0</xdr:colOff>
      <xdr:row>318</xdr:row>
      <xdr:rowOff>6350</xdr:rowOff>
    </xdr:to>
    <xdr:pic macro="[0]!ChangeDepr">
      <xdr:nvPicPr>
        <xdr:cNvPr id="108" name="btnInv18" descr="timebtn2b" hidden="1">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02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199</xdr:row>
      <xdr:rowOff>9525</xdr:rowOff>
    </xdr:from>
    <xdr:to>
      <xdr:col>2</xdr:col>
      <xdr:colOff>0</xdr:colOff>
      <xdr:row>318</xdr:row>
      <xdr:rowOff>6350</xdr:rowOff>
    </xdr:to>
    <xdr:pic macro="[0]!ChangeDepr">
      <xdr:nvPicPr>
        <xdr:cNvPr id="109" name="btnInv19" descr="timebtn2b" hidden="1">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845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209</xdr:row>
      <xdr:rowOff>9525</xdr:rowOff>
    </xdr:from>
    <xdr:to>
      <xdr:col>2</xdr:col>
      <xdr:colOff>0</xdr:colOff>
      <xdr:row>318</xdr:row>
      <xdr:rowOff>6350</xdr:rowOff>
    </xdr:to>
    <xdr:pic macro="[0]!ChangeDepr">
      <xdr:nvPicPr>
        <xdr:cNvPr id="110" name="btnInv20" descr="timebtn2b" hidden="1">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987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219</xdr:row>
      <xdr:rowOff>9525</xdr:rowOff>
    </xdr:from>
    <xdr:to>
      <xdr:col>2</xdr:col>
      <xdr:colOff>0</xdr:colOff>
      <xdr:row>318</xdr:row>
      <xdr:rowOff>6350</xdr:rowOff>
    </xdr:to>
    <xdr:pic macro="[0]!ChangeDepr">
      <xdr:nvPicPr>
        <xdr:cNvPr id="111" name="btnInv21" descr="timebtn2b" hidden="1">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130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229</xdr:row>
      <xdr:rowOff>9525</xdr:rowOff>
    </xdr:from>
    <xdr:to>
      <xdr:col>2</xdr:col>
      <xdr:colOff>0</xdr:colOff>
      <xdr:row>318</xdr:row>
      <xdr:rowOff>6350</xdr:rowOff>
    </xdr:to>
    <xdr:pic macro="[0]!ChangeDepr">
      <xdr:nvPicPr>
        <xdr:cNvPr id="112" name="btnInv22" descr="timebtn2b" hidden="1">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2737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239</xdr:row>
      <xdr:rowOff>9525</xdr:rowOff>
    </xdr:from>
    <xdr:to>
      <xdr:col>2</xdr:col>
      <xdr:colOff>0</xdr:colOff>
      <xdr:row>318</xdr:row>
      <xdr:rowOff>6350</xdr:rowOff>
    </xdr:to>
    <xdr:pic macro="[0]!ChangeDepr">
      <xdr:nvPicPr>
        <xdr:cNvPr id="113" name="btnInv23" descr="timebtn2b" hidden="1">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4166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249</xdr:row>
      <xdr:rowOff>9525</xdr:rowOff>
    </xdr:from>
    <xdr:to>
      <xdr:col>2</xdr:col>
      <xdr:colOff>0</xdr:colOff>
      <xdr:row>318</xdr:row>
      <xdr:rowOff>6350</xdr:rowOff>
    </xdr:to>
    <xdr:pic macro="[0]!ChangeDepr">
      <xdr:nvPicPr>
        <xdr:cNvPr id="114" name="btnInv24" descr="timebtn2b" hidden="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5594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259</xdr:row>
      <xdr:rowOff>9525</xdr:rowOff>
    </xdr:from>
    <xdr:to>
      <xdr:col>2</xdr:col>
      <xdr:colOff>0</xdr:colOff>
      <xdr:row>318</xdr:row>
      <xdr:rowOff>6350</xdr:rowOff>
    </xdr:to>
    <xdr:pic macro="[0]!ChangeDepr">
      <xdr:nvPicPr>
        <xdr:cNvPr id="115" name="btnInv25" descr="timebtn2b" hidden="1">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702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269</xdr:row>
      <xdr:rowOff>9525</xdr:rowOff>
    </xdr:from>
    <xdr:to>
      <xdr:col>2</xdr:col>
      <xdr:colOff>0</xdr:colOff>
      <xdr:row>318</xdr:row>
      <xdr:rowOff>6350</xdr:rowOff>
    </xdr:to>
    <xdr:pic macro="[0]!ChangeDepr">
      <xdr:nvPicPr>
        <xdr:cNvPr id="116" name="btnInv26" descr="timebtn2b" hidden="1">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845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279</xdr:row>
      <xdr:rowOff>9525</xdr:rowOff>
    </xdr:from>
    <xdr:to>
      <xdr:col>2</xdr:col>
      <xdr:colOff>0</xdr:colOff>
      <xdr:row>318</xdr:row>
      <xdr:rowOff>6350</xdr:rowOff>
    </xdr:to>
    <xdr:pic macro="[0]!ChangeDepr">
      <xdr:nvPicPr>
        <xdr:cNvPr id="117" name="btnInv27" descr="timebtn2b" hidden="1">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988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289</xdr:row>
      <xdr:rowOff>9525</xdr:rowOff>
    </xdr:from>
    <xdr:to>
      <xdr:col>2</xdr:col>
      <xdr:colOff>0</xdr:colOff>
      <xdr:row>318</xdr:row>
      <xdr:rowOff>6350</xdr:rowOff>
    </xdr:to>
    <xdr:pic macro="[0]!ChangeDepr">
      <xdr:nvPicPr>
        <xdr:cNvPr id="118" name="btnInv28" descr="timebtn2b" hidden="1">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30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299</xdr:row>
      <xdr:rowOff>9525</xdr:rowOff>
    </xdr:from>
    <xdr:to>
      <xdr:col>2</xdr:col>
      <xdr:colOff>0</xdr:colOff>
      <xdr:row>318</xdr:row>
      <xdr:rowOff>6350</xdr:rowOff>
    </xdr:to>
    <xdr:pic macro="[0]!ChangeDepr">
      <xdr:nvPicPr>
        <xdr:cNvPr id="119" name="btnInv29" descr="timebtn2b" hidden="1">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273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309</xdr:row>
      <xdr:rowOff>9525</xdr:rowOff>
    </xdr:from>
    <xdr:to>
      <xdr:col>2</xdr:col>
      <xdr:colOff>0</xdr:colOff>
      <xdr:row>318</xdr:row>
      <xdr:rowOff>6350</xdr:rowOff>
    </xdr:to>
    <xdr:pic macro="[0]!ChangeDepr">
      <xdr:nvPicPr>
        <xdr:cNvPr id="120" name="btnInv30" descr="timebtn2b" hidden="1">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4167425"/>
          <a:ext cx="152400" cy="149225"/>
        </a:xfrm>
        <a:prstGeom prst="rect">
          <a:avLst/>
        </a:prstGeom>
        <a:noFill/>
        <a:ln w="9525">
          <a:noFill/>
          <a:miter lim="800000"/>
          <a:headEnd/>
          <a:tailEnd/>
        </a:ln>
      </xdr:spPr>
    </xdr:pic>
    <xdr:clientData fPrintsWithSheet="0"/>
  </xdr:twoCellAnchor>
  <xdr:twoCellAnchor editAs="oneCell">
    <xdr:from>
      <xdr:col>2</xdr:col>
      <xdr:colOff>1565275</xdr:colOff>
      <xdr:row>10</xdr:row>
      <xdr:rowOff>0</xdr:rowOff>
    </xdr:from>
    <xdr:to>
      <xdr:col>2</xdr:col>
      <xdr:colOff>1793875</xdr:colOff>
      <xdr:row>14</xdr:row>
      <xdr:rowOff>142875</xdr:rowOff>
    </xdr:to>
    <xdr:pic macro="[0]!Distribute">
      <xdr:nvPicPr>
        <xdr:cNvPr id="121" name="DistBtn05cf" descr="distbtn2" hidden="1">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5300" y="1419225"/>
          <a:ext cx="228600" cy="142875"/>
        </a:xfrm>
        <a:prstGeom prst="rect">
          <a:avLst/>
        </a:prstGeom>
        <a:noFill/>
        <a:ln w="9525">
          <a:noFill/>
          <a:miter lim="800000"/>
          <a:headEnd/>
          <a:tailEnd/>
        </a:ln>
      </xdr:spPr>
    </xdr:pic>
    <xdr:clientData fPrintsWithSheet="0"/>
  </xdr:twoCellAnchor>
  <xdr:twoCellAnchor editAs="oneCell">
    <xdr:from>
      <xdr:col>3</xdr:col>
      <xdr:colOff>349250</xdr:colOff>
      <xdr:row>10</xdr:row>
      <xdr:rowOff>0</xdr:rowOff>
    </xdr:from>
    <xdr:to>
      <xdr:col>3</xdr:col>
      <xdr:colOff>501650</xdr:colOff>
      <xdr:row>14</xdr:row>
      <xdr:rowOff>142875</xdr:rowOff>
    </xdr:to>
    <xdr:pic macro="[0]!AutoVBA.GotoLastPeriod">
      <xdr:nvPicPr>
        <xdr:cNvPr id="122" name="LastColBtn05cf" descr="lastcol" hidden="1">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30500" y="1419225"/>
          <a:ext cx="152400" cy="142875"/>
        </a:xfrm>
        <a:prstGeom prst="rect">
          <a:avLst/>
        </a:prstGeom>
        <a:noFill/>
        <a:ln w="9525">
          <a:noFill/>
          <a:miter lim="800000"/>
          <a:headEnd/>
          <a:tailEnd/>
        </a:ln>
      </xdr:spPr>
    </xdr:pic>
    <xdr:clientData fPrintsWithSheet="0"/>
  </xdr:twoCellAnchor>
  <xdr:twoCellAnchor editAs="oneCell">
    <xdr:from>
      <xdr:col>3</xdr:col>
      <xdr:colOff>501650</xdr:colOff>
      <xdr:row>10</xdr:row>
      <xdr:rowOff>0</xdr:rowOff>
    </xdr:from>
    <xdr:to>
      <xdr:col>4</xdr:col>
      <xdr:colOff>0</xdr:colOff>
      <xdr:row>14</xdr:row>
      <xdr:rowOff>142875</xdr:rowOff>
    </xdr:to>
    <xdr:pic macro="[0]!ToggleHistoryColumns">
      <xdr:nvPicPr>
        <xdr:cNvPr id="123" name="btnHistory05cf" descr="historybtn" hidden="1">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82900" y="1419225"/>
          <a:ext cx="146050" cy="142875"/>
        </a:xfrm>
        <a:prstGeom prst="rect">
          <a:avLst/>
        </a:prstGeom>
        <a:noFill/>
        <a:ln w="9525">
          <a:noFill/>
          <a:miter lim="800000"/>
          <a:headEnd/>
          <a:tailEnd/>
        </a:ln>
      </xdr:spPr>
    </xdr:pic>
    <xdr:clientData fPrintsWithSheet="0"/>
  </xdr:twoCellAnchor>
  <xdr:twoCellAnchor editAs="oneCell">
    <xdr:from>
      <xdr:col>3</xdr:col>
      <xdr:colOff>196850</xdr:colOff>
      <xdr:row>10</xdr:row>
      <xdr:rowOff>0</xdr:rowOff>
    </xdr:from>
    <xdr:to>
      <xdr:col>3</xdr:col>
      <xdr:colOff>349250</xdr:colOff>
      <xdr:row>14</xdr:row>
      <xdr:rowOff>142875</xdr:rowOff>
    </xdr:to>
    <xdr:pic macro="[0]!AutoVBA.GotoFirstPeriod">
      <xdr:nvPicPr>
        <xdr:cNvPr id="124" name="FirstColBtn05cf" descr="firstcol" hidden="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78100" y="14192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465</xdr:row>
      <xdr:rowOff>0</xdr:rowOff>
    </xdr:from>
    <xdr:to>
      <xdr:col>2</xdr:col>
      <xdr:colOff>0</xdr:colOff>
      <xdr:row>472</xdr:row>
      <xdr:rowOff>0</xdr:rowOff>
    </xdr:to>
    <xdr:pic macro="[0]!ToggleRowSpec">
      <xdr:nvPicPr>
        <xdr:cNvPr id="125" name="btnRSpec040" descr="rspecB" hidden="1">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3416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466</xdr:row>
      <xdr:rowOff>0</xdr:rowOff>
    </xdr:from>
    <xdr:to>
      <xdr:col>2</xdr:col>
      <xdr:colOff>0</xdr:colOff>
      <xdr:row>472</xdr:row>
      <xdr:rowOff>0</xdr:rowOff>
    </xdr:to>
    <xdr:pic macro="[0]!ToggleRowSpec">
      <xdr:nvPicPr>
        <xdr:cNvPr id="126" name="btnRSpec041" descr="rspecB" hidden="1">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4845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633</xdr:row>
      <xdr:rowOff>9525</xdr:rowOff>
    </xdr:from>
    <xdr:to>
      <xdr:col>2</xdr:col>
      <xdr:colOff>0</xdr:colOff>
      <xdr:row>634</xdr:row>
      <xdr:rowOff>0</xdr:rowOff>
    </xdr:to>
    <xdr:pic macro="[0]!ToggleRowSpecBal">
      <xdr:nvPicPr>
        <xdr:cNvPr id="127" name="btnRSpec042" descr="rspec2b">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11434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644</xdr:row>
      <xdr:rowOff>9525</xdr:rowOff>
    </xdr:from>
    <xdr:to>
      <xdr:col>2</xdr:col>
      <xdr:colOff>0</xdr:colOff>
      <xdr:row>645</xdr:row>
      <xdr:rowOff>0</xdr:rowOff>
    </xdr:to>
    <xdr:pic macro="[0]!ToggleRowSpecBal">
      <xdr:nvPicPr>
        <xdr:cNvPr id="128" name="btnRSpec043" descr="rspec2b">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20578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655</xdr:row>
      <xdr:rowOff>9525</xdr:rowOff>
    </xdr:from>
    <xdr:to>
      <xdr:col>2</xdr:col>
      <xdr:colOff>0</xdr:colOff>
      <xdr:row>656</xdr:row>
      <xdr:rowOff>0</xdr:rowOff>
    </xdr:to>
    <xdr:pic macro="[0]!ToggleRowSpecBal">
      <xdr:nvPicPr>
        <xdr:cNvPr id="129" name="btnRSpec044" descr="rspec2b">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3124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668</xdr:row>
      <xdr:rowOff>9525</xdr:rowOff>
    </xdr:from>
    <xdr:to>
      <xdr:col>2</xdr:col>
      <xdr:colOff>0</xdr:colOff>
      <xdr:row>669</xdr:row>
      <xdr:rowOff>0</xdr:rowOff>
    </xdr:to>
    <xdr:pic macro="[0]!ToggleRowSpecBal">
      <xdr:nvPicPr>
        <xdr:cNvPr id="130" name="btnRSpec045" descr="rspec2b">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4496275"/>
          <a:ext cx="152400" cy="142875"/>
        </a:xfrm>
        <a:prstGeom prst="rect">
          <a:avLst/>
        </a:prstGeom>
        <a:noFill/>
        <a:ln w="9525">
          <a:noFill/>
          <a:miter lim="800000"/>
          <a:headEnd/>
          <a:tailEnd/>
        </a:ln>
      </xdr:spPr>
    </xdr:pic>
    <xdr:clientData fPrintsWithSheet="0"/>
  </xdr:twoCellAnchor>
  <xdr:twoCellAnchor editAs="oneCell">
    <xdr:from>
      <xdr:col>2</xdr:col>
      <xdr:colOff>1768475</xdr:colOff>
      <xdr:row>15</xdr:row>
      <xdr:rowOff>0</xdr:rowOff>
    </xdr:from>
    <xdr:to>
      <xdr:col>2</xdr:col>
      <xdr:colOff>1920875</xdr:colOff>
      <xdr:row>16</xdr:row>
      <xdr:rowOff>0</xdr:rowOff>
    </xdr:to>
    <xdr:pic macro="[0]!BreakEvenCell">
      <xdr:nvPicPr>
        <xdr:cNvPr id="131" name="Button 44" descr="breakeven">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68500" y="21526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346</xdr:row>
      <xdr:rowOff>0</xdr:rowOff>
    </xdr:from>
    <xdr:to>
      <xdr:col>2</xdr:col>
      <xdr:colOff>0</xdr:colOff>
      <xdr:row>436</xdr:row>
      <xdr:rowOff>98425</xdr:rowOff>
    </xdr:to>
    <xdr:pic macro="[0]!ToggleAllocatedOvervalue">
      <xdr:nvPicPr>
        <xdr:cNvPr id="138" name="btnIFRSAllocOVDetail" descr="rspec2" hidden="1">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800" y="492823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350</xdr:row>
      <xdr:rowOff>9525</xdr:rowOff>
    </xdr:from>
    <xdr:to>
      <xdr:col>2</xdr:col>
      <xdr:colOff>0</xdr:colOff>
      <xdr:row>436</xdr:row>
      <xdr:rowOff>98425</xdr:rowOff>
    </xdr:to>
    <xdr:pic macro="[0]!IFRSAllocPlusPressed">
      <xdr:nvPicPr>
        <xdr:cNvPr id="139" name="btnAllocPlus01" hidden="1">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49977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351</xdr:row>
      <xdr:rowOff>0</xdr:rowOff>
    </xdr:from>
    <xdr:to>
      <xdr:col>2</xdr:col>
      <xdr:colOff>0</xdr:colOff>
      <xdr:row>436</xdr:row>
      <xdr:rowOff>98425</xdr:rowOff>
    </xdr:to>
    <xdr:pic macro="[0]!IFRSAllocMinusPressed">
      <xdr:nvPicPr>
        <xdr:cNvPr id="140" name="btnAllocMinus02" hidden="1">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01110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353</xdr:row>
      <xdr:rowOff>9525</xdr:rowOff>
    </xdr:from>
    <xdr:to>
      <xdr:col>2</xdr:col>
      <xdr:colOff>0</xdr:colOff>
      <xdr:row>436</xdr:row>
      <xdr:rowOff>98425</xdr:rowOff>
    </xdr:to>
    <xdr:pic macro="[0]!IFRSAllocPlusPressed">
      <xdr:nvPicPr>
        <xdr:cNvPr id="141" name="btnAllocPlus02" hidden="1">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05206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354</xdr:row>
      <xdr:rowOff>0</xdr:rowOff>
    </xdr:from>
    <xdr:to>
      <xdr:col>2</xdr:col>
      <xdr:colOff>0</xdr:colOff>
      <xdr:row>436</xdr:row>
      <xdr:rowOff>98425</xdr:rowOff>
    </xdr:to>
    <xdr:pic macro="[0]!IFRSAllocMinusPressed">
      <xdr:nvPicPr>
        <xdr:cNvPr id="142" name="btnAllocMinus03" hidden="1">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06539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356</xdr:row>
      <xdr:rowOff>9525</xdr:rowOff>
    </xdr:from>
    <xdr:to>
      <xdr:col>2</xdr:col>
      <xdr:colOff>0</xdr:colOff>
      <xdr:row>436</xdr:row>
      <xdr:rowOff>98425</xdr:rowOff>
    </xdr:to>
    <xdr:pic macro="[0]!IFRSAllocPlusPressed">
      <xdr:nvPicPr>
        <xdr:cNvPr id="143" name="btnAllocPlus03" hidden="1">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10635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357</xdr:row>
      <xdr:rowOff>0</xdr:rowOff>
    </xdr:from>
    <xdr:to>
      <xdr:col>2</xdr:col>
      <xdr:colOff>0</xdr:colOff>
      <xdr:row>436</xdr:row>
      <xdr:rowOff>98425</xdr:rowOff>
    </xdr:to>
    <xdr:pic macro="[0]!IFRSAllocMinusPressed">
      <xdr:nvPicPr>
        <xdr:cNvPr id="144" name="btnAllocMinus04" hidden="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11968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359</xdr:row>
      <xdr:rowOff>9525</xdr:rowOff>
    </xdr:from>
    <xdr:to>
      <xdr:col>2</xdr:col>
      <xdr:colOff>0</xdr:colOff>
      <xdr:row>436</xdr:row>
      <xdr:rowOff>98425</xdr:rowOff>
    </xdr:to>
    <xdr:pic macro="[0]!IFRSAllocPlusPressed">
      <xdr:nvPicPr>
        <xdr:cNvPr id="145" name="btnAllocPlus04" hidden="1">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16064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360</xdr:row>
      <xdr:rowOff>0</xdr:rowOff>
    </xdr:from>
    <xdr:to>
      <xdr:col>2</xdr:col>
      <xdr:colOff>0</xdr:colOff>
      <xdr:row>436</xdr:row>
      <xdr:rowOff>98425</xdr:rowOff>
    </xdr:to>
    <xdr:pic macro="[0]!IFRSAllocMinusPressed">
      <xdr:nvPicPr>
        <xdr:cNvPr id="146" name="btnAllocMinus05" hidden="1">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17398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362</xdr:row>
      <xdr:rowOff>9525</xdr:rowOff>
    </xdr:from>
    <xdr:to>
      <xdr:col>2</xdr:col>
      <xdr:colOff>0</xdr:colOff>
      <xdr:row>436</xdr:row>
      <xdr:rowOff>98425</xdr:rowOff>
    </xdr:to>
    <xdr:pic macro="[0]!IFRSAllocPlusPressed">
      <xdr:nvPicPr>
        <xdr:cNvPr id="147" name="btnAllocPlus05" hidden="1">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21493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363</xdr:row>
      <xdr:rowOff>0</xdr:rowOff>
    </xdr:from>
    <xdr:to>
      <xdr:col>2</xdr:col>
      <xdr:colOff>0</xdr:colOff>
      <xdr:row>436</xdr:row>
      <xdr:rowOff>98425</xdr:rowOff>
    </xdr:to>
    <xdr:pic macro="[0]!IFRSAllocMinusPressed">
      <xdr:nvPicPr>
        <xdr:cNvPr id="148" name="btnAllocMinus06" hidden="1">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22827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365</xdr:row>
      <xdr:rowOff>9525</xdr:rowOff>
    </xdr:from>
    <xdr:to>
      <xdr:col>2</xdr:col>
      <xdr:colOff>0</xdr:colOff>
      <xdr:row>436</xdr:row>
      <xdr:rowOff>98425</xdr:rowOff>
    </xdr:to>
    <xdr:pic macro="[0]!IFRSAllocPlusPressed">
      <xdr:nvPicPr>
        <xdr:cNvPr id="149" name="btnAllocPlus06" hidden="1">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26923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366</xdr:row>
      <xdr:rowOff>0</xdr:rowOff>
    </xdr:from>
    <xdr:to>
      <xdr:col>2</xdr:col>
      <xdr:colOff>0</xdr:colOff>
      <xdr:row>436</xdr:row>
      <xdr:rowOff>98425</xdr:rowOff>
    </xdr:to>
    <xdr:pic macro="[0]!IFRSAllocMinusPressed">
      <xdr:nvPicPr>
        <xdr:cNvPr id="150" name="btnAllocMinus07" hidden="1">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28256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368</xdr:row>
      <xdr:rowOff>9525</xdr:rowOff>
    </xdr:from>
    <xdr:to>
      <xdr:col>2</xdr:col>
      <xdr:colOff>0</xdr:colOff>
      <xdr:row>436</xdr:row>
      <xdr:rowOff>98425</xdr:rowOff>
    </xdr:to>
    <xdr:pic macro="[0]!IFRSAllocPlusPressed">
      <xdr:nvPicPr>
        <xdr:cNvPr id="151" name="btnAllocPlus07" hidden="1">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32352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369</xdr:row>
      <xdr:rowOff>0</xdr:rowOff>
    </xdr:from>
    <xdr:to>
      <xdr:col>2</xdr:col>
      <xdr:colOff>0</xdr:colOff>
      <xdr:row>436</xdr:row>
      <xdr:rowOff>98425</xdr:rowOff>
    </xdr:to>
    <xdr:pic macro="[0]!IFRSAllocMinusPressed">
      <xdr:nvPicPr>
        <xdr:cNvPr id="152" name="btnAllocMinus08" hidden="1">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33685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371</xdr:row>
      <xdr:rowOff>9525</xdr:rowOff>
    </xdr:from>
    <xdr:to>
      <xdr:col>2</xdr:col>
      <xdr:colOff>0</xdr:colOff>
      <xdr:row>436</xdr:row>
      <xdr:rowOff>98425</xdr:rowOff>
    </xdr:to>
    <xdr:pic macro="[0]!IFRSAllocPlusPressed">
      <xdr:nvPicPr>
        <xdr:cNvPr id="153" name="btnAllocPlus08" hidden="1">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37781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372</xdr:row>
      <xdr:rowOff>0</xdr:rowOff>
    </xdr:from>
    <xdr:to>
      <xdr:col>2</xdr:col>
      <xdr:colOff>0</xdr:colOff>
      <xdr:row>436</xdr:row>
      <xdr:rowOff>98425</xdr:rowOff>
    </xdr:to>
    <xdr:pic macro="[0]!IFRSAllocMinusPressed">
      <xdr:nvPicPr>
        <xdr:cNvPr id="154" name="btnAllocMinus09" hidden="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39115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374</xdr:row>
      <xdr:rowOff>9525</xdr:rowOff>
    </xdr:from>
    <xdr:to>
      <xdr:col>2</xdr:col>
      <xdr:colOff>0</xdr:colOff>
      <xdr:row>436</xdr:row>
      <xdr:rowOff>98425</xdr:rowOff>
    </xdr:to>
    <xdr:pic macro="[0]!IFRSAllocPlusPressed">
      <xdr:nvPicPr>
        <xdr:cNvPr id="155" name="btnAllocPlus09" hidden="1">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43210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375</xdr:row>
      <xdr:rowOff>0</xdr:rowOff>
    </xdr:from>
    <xdr:to>
      <xdr:col>2</xdr:col>
      <xdr:colOff>0</xdr:colOff>
      <xdr:row>436</xdr:row>
      <xdr:rowOff>98425</xdr:rowOff>
    </xdr:to>
    <xdr:pic macro="[0]!IFRSAllocMinusPressed">
      <xdr:nvPicPr>
        <xdr:cNvPr id="156" name="btnAllocMinus10" hidden="1">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44544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377</xdr:row>
      <xdr:rowOff>9525</xdr:rowOff>
    </xdr:from>
    <xdr:to>
      <xdr:col>2</xdr:col>
      <xdr:colOff>0</xdr:colOff>
      <xdr:row>436</xdr:row>
      <xdr:rowOff>98425</xdr:rowOff>
    </xdr:to>
    <xdr:pic macro="[0]!IFRSAllocPlusPressed">
      <xdr:nvPicPr>
        <xdr:cNvPr id="157" name="btnAllocPlus10" hidden="1">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48640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378</xdr:row>
      <xdr:rowOff>0</xdr:rowOff>
    </xdr:from>
    <xdr:to>
      <xdr:col>2</xdr:col>
      <xdr:colOff>0</xdr:colOff>
      <xdr:row>436</xdr:row>
      <xdr:rowOff>98425</xdr:rowOff>
    </xdr:to>
    <xdr:pic macro="[0]!IFRSAllocMinusPressed">
      <xdr:nvPicPr>
        <xdr:cNvPr id="158" name="btnAllocMinus11" hidden="1">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49973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380</xdr:row>
      <xdr:rowOff>9525</xdr:rowOff>
    </xdr:from>
    <xdr:to>
      <xdr:col>2</xdr:col>
      <xdr:colOff>0</xdr:colOff>
      <xdr:row>436</xdr:row>
      <xdr:rowOff>98425</xdr:rowOff>
    </xdr:to>
    <xdr:pic macro="[0]!IFRSAllocPlusPressed">
      <xdr:nvPicPr>
        <xdr:cNvPr id="159" name="btnAllocPlus11" hidden="1">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54069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381</xdr:row>
      <xdr:rowOff>0</xdr:rowOff>
    </xdr:from>
    <xdr:to>
      <xdr:col>2</xdr:col>
      <xdr:colOff>0</xdr:colOff>
      <xdr:row>436</xdr:row>
      <xdr:rowOff>98425</xdr:rowOff>
    </xdr:to>
    <xdr:pic macro="[0]!IFRSAllocMinusPressed">
      <xdr:nvPicPr>
        <xdr:cNvPr id="160" name="btnAllocMinus12" hidden="1">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55402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384</xdr:row>
      <xdr:rowOff>0</xdr:rowOff>
    </xdr:from>
    <xdr:to>
      <xdr:col>2</xdr:col>
      <xdr:colOff>0</xdr:colOff>
      <xdr:row>436</xdr:row>
      <xdr:rowOff>98425</xdr:rowOff>
    </xdr:to>
    <xdr:pic macro="[0]!ToggleAllocatedTax">
      <xdr:nvPicPr>
        <xdr:cNvPr id="161" name="btnIFRSAllocTaxDetail" descr="rspec2" hidden="1">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800" y="56083200"/>
          <a:ext cx="152400" cy="146050"/>
        </a:xfrm>
        <a:prstGeom prst="rect">
          <a:avLst/>
        </a:prstGeom>
        <a:noFill/>
        <a:ln w="9525">
          <a:noFill/>
          <a:miter lim="800000"/>
          <a:headEnd/>
          <a:tailEnd/>
        </a:ln>
      </xdr:spPr>
    </xdr:pic>
    <xdr:clientData fPrintsWithSheet="0"/>
  </xdr:twoCellAnchor>
  <xdr:twoCellAnchor editAs="oneCell">
    <xdr:from>
      <xdr:col>2</xdr:col>
      <xdr:colOff>3175</xdr:colOff>
      <xdr:row>717</xdr:row>
      <xdr:rowOff>38100</xdr:rowOff>
    </xdr:from>
    <xdr:to>
      <xdr:col>2</xdr:col>
      <xdr:colOff>107950</xdr:colOff>
      <xdr:row>733</xdr:row>
      <xdr:rowOff>107950</xdr:rowOff>
    </xdr:to>
    <xdr:pic macro="[0]!FlipAsset">
      <xdr:nvPicPr>
        <xdr:cNvPr id="162" name="btnFlipAsset01" hidden="1">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03200" y="920972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721</xdr:row>
      <xdr:rowOff>38100</xdr:rowOff>
    </xdr:from>
    <xdr:to>
      <xdr:col>2</xdr:col>
      <xdr:colOff>107950</xdr:colOff>
      <xdr:row>733</xdr:row>
      <xdr:rowOff>107950</xdr:rowOff>
    </xdr:to>
    <xdr:pic macro="[0]!FlipAsset">
      <xdr:nvPicPr>
        <xdr:cNvPr id="163" name="btnFlipAsset02" hidden="1">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27830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725</xdr:row>
      <xdr:rowOff>38100</xdr:rowOff>
    </xdr:from>
    <xdr:to>
      <xdr:col>2</xdr:col>
      <xdr:colOff>107950</xdr:colOff>
      <xdr:row>733</xdr:row>
      <xdr:rowOff>107950</xdr:rowOff>
    </xdr:to>
    <xdr:pic macro="[0]!FlipAsset">
      <xdr:nvPicPr>
        <xdr:cNvPr id="164" name="btnFlipAsset03" hidden="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34688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729</xdr:row>
      <xdr:rowOff>38100</xdr:rowOff>
    </xdr:from>
    <xdr:to>
      <xdr:col>2</xdr:col>
      <xdr:colOff>107950</xdr:colOff>
      <xdr:row>733</xdr:row>
      <xdr:rowOff>107950</xdr:rowOff>
    </xdr:to>
    <xdr:pic macro="[0]!FlipAsset">
      <xdr:nvPicPr>
        <xdr:cNvPr id="165" name="btnFlipAsset04" hidden="1">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41546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734</xdr:row>
      <xdr:rowOff>38100</xdr:rowOff>
    </xdr:from>
    <xdr:to>
      <xdr:col>2</xdr:col>
      <xdr:colOff>107950</xdr:colOff>
      <xdr:row>754</xdr:row>
      <xdr:rowOff>104775</xdr:rowOff>
    </xdr:to>
    <xdr:pic macro="[0]!FlipAsset">
      <xdr:nvPicPr>
        <xdr:cNvPr id="166" name="btnFlipAsset05" hidden="1">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50023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738</xdr:row>
      <xdr:rowOff>38100</xdr:rowOff>
    </xdr:from>
    <xdr:to>
      <xdr:col>2</xdr:col>
      <xdr:colOff>107950</xdr:colOff>
      <xdr:row>754</xdr:row>
      <xdr:rowOff>104775</xdr:rowOff>
    </xdr:to>
    <xdr:pic macro="[0]!FlipAsset">
      <xdr:nvPicPr>
        <xdr:cNvPr id="167" name="btnFlipAsset06" hidden="1">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5697675"/>
          <a:ext cx="104775" cy="104775"/>
        </a:xfrm>
        <a:prstGeom prst="rect">
          <a:avLst/>
        </a:prstGeom>
        <a:noFill/>
        <a:ln w="9525">
          <a:noFill/>
          <a:miter lim="800000"/>
          <a:headEnd/>
          <a:tailEnd/>
        </a:ln>
      </xdr:spPr>
    </xdr:pic>
    <xdr:clientData fPrintsWithSheet="0"/>
  </xdr:twoCellAnchor>
  <xdr:twoCellAnchor editAs="oneCell">
    <xdr:from>
      <xdr:col>2</xdr:col>
      <xdr:colOff>3175</xdr:colOff>
      <xdr:row>742</xdr:row>
      <xdr:rowOff>38100</xdr:rowOff>
    </xdr:from>
    <xdr:to>
      <xdr:col>2</xdr:col>
      <xdr:colOff>107950</xdr:colOff>
      <xdr:row>754</xdr:row>
      <xdr:rowOff>104775</xdr:rowOff>
    </xdr:to>
    <xdr:pic macro="[0]!FlipAsset">
      <xdr:nvPicPr>
        <xdr:cNvPr id="168" name="btnFlipAsset07" hidden="1">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6393000"/>
          <a:ext cx="104775" cy="104775"/>
        </a:xfrm>
        <a:prstGeom prst="rect">
          <a:avLst/>
        </a:prstGeom>
        <a:noFill/>
        <a:ln w="9525">
          <a:noFill/>
          <a:miter lim="800000"/>
          <a:headEnd/>
          <a:tailEnd/>
        </a:ln>
      </xdr:spPr>
    </xdr:pic>
    <xdr:clientData fPrintsWithSheet="0"/>
  </xdr:twoCellAnchor>
  <xdr:twoCellAnchor editAs="oneCell">
    <xdr:from>
      <xdr:col>2</xdr:col>
      <xdr:colOff>3175</xdr:colOff>
      <xdr:row>750</xdr:row>
      <xdr:rowOff>38100</xdr:rowOff>
    </xdr:from>
    <xdr:to>
      <xdr:col>2</xdr:col>
      <xdr:colOff>107950</xdr:colOff>
      <xdr:row>754</xdr:row>
      <xdr:rowOff>104775</xdr:rowOff>
    </xdr:to>
    <xdr:pic macro="[0]!FlipAsset">
      <xdr:nvPicPr>
        <xdr:cNvPr id="169" name="btnFlipAsset08" hidden="1">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77836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755</xdr:row>
      <xdr:rowOff>38100</xdr:rowOff>
    </xdr:from>
    <xdr:to>
      <xdr:col>2</xdr:col>
      <xdr:colOff>107950</xdr:colOff>
      <xdr:row>771</xdr:row>
      <xdr:rowOff>104775</xdr:rowOff>
    </xdr:to>
    <xdr:pic macro="[0]!FlipAsset">
      <xdr:nvPicPr>
        <xdr:cNvPr id="170" name="btnFlipAsset09" hidden="1">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8640900"/>
          <a:ext cx="104775" cy="104775"/>
        </a:xfrm>
        <a:prstGeom prst="rect">
          <a:avLst/>
        </a:prstGeom>
        <a:noFill/>
        <a:ln w="9525">
          <a:noFill/>
          <a:miter lim="800000"/>
          <a:headEnd/>
          <a:tailEnd/>
        </a:ln>
      </xdr:spPr>
    </xdr:pic>
    <xdr:clientData fPrintsWithSheet="0"/>
  </xdr:twoCellAnchor>
  <xdr:twoCellAnchor editAs="oneCell">
    <xdr:from>
      <xdr:col>2</xdr:col>
      <xdr:colOff>3175</xdr:colOff>
      <xdr:row>759</xdr:row>
      <xdr:rowOff>38100</xdr:rowOff>
    </xdr:from>
    <xdr:to>
      <xdr:col>2</xdr:col>
      <xdr:colOff>107950</xdr:colOff>
      <xdr:row>771</xdr:row>
      <xdr:rowOff>104775</xdr:rowOff>
    </xdr:to>
    <xdr:pic macro="[0]!FlipAsset">
      <xdr:nvPicPr>
        <xdr:cNvPr id="171" name="btnFlipAsset10" hidden="1">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9336225"/>
          <a:ext cx="104775" cy="104775"/>
        </a:xfrm>
        <a:prstGeom prst="rect">
          <a:avLst/>
        </a:prstGeom>
        <a:noFill/>
        <a:ln w="9525">
          <a:noFill/>
          <a:miter lim="800000"/>
          <a:headEnd/>
          <a:tailEnd/>
        </a:ln>
      </xdr:spPr>
    </xdr:pic>
    <xdr:clientData fPrintsWithSheet="0"/>
  </xdr:twoCellAnchor>
  <xdr:twoCellAnchor editAs="oneCell">
    <xdr:from>
      <xdr:col>2</xdr:col>
      <xdr:colOff>3175</xdr:colOff>
      <xdr:row>763</xdr:row>
      <xdr:rowOff>38100</xdr:rowOff>
    </xdr:from>
    <xdr:to>
      <xdr:col>2</xdr:col>
      <xdr:colOff>107950</xdr:colOff>
      <xdr:row>771</xdr:row>
      <xdr:rowOff>104775</xdr:rowOff>
    </xdr:to>
    <xdr:pic macro="[0]!FlipAsset">
      <xdr:nvPicPr>
        <xdr:cNvPr id="172" name="btnFlipAsset11" hidden="1">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1000315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767</xdr:row>
      <xdr:rowOff>38100</xdr:rowOff>
    </xdr:from>
    <xdr:to>
      <xdr:col>2</xdr:col>
      <xdr:colOff>107950</xdr:colOff>
      <xdr:row>771</xdr:row>
      <xdr:rowOff>104775</xdr:rowOff>
    </xdr:to>
    <xdr:pic macro="[0]!FlipAsset">
      <xdr:nvPicPr>
        <xdr:cNvPr id="173" name="btnFlipAsset12" hidden="1">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100726875"/>
          <a:ext cx="104775" cy="104775"/>
        </a:xfrm>
        <a:prstGeom prst="rect">
          <a:avLst/>
        </a:prstGeom>
        <a:noFill/>
        <a:ln w="9525">
          <a:noFill/>
          <a:miter lim="800000"/>
          <a:headEnd/>
          <a:tailEnd/>
        </a:ln>
      </xdr:spPr>
    </xdr:pic>
    <xdr:clientData fPrintsWithSheet="0"/>
  </xdr:twoCellAnchor>
  <xdr:twoCellAnchor editAs="oneCell">
    <xdr:from>
      <xdr:col>3</xdr:col>
      <xdr:colOff>6350</xdr:colOff>
      <xdr:row>15</xdr:row>
      <xdr:rowOff>0</xdr:rowOff>
    </xdr:from>
    <xdr:to>
      <xdr:col>3</xdr:col>
      <xdr:colOff>149225</xdr:colOff>
      <xdr:row>16</xdr:row>
      <xdr:rowOff>0</xdr:rowOff>
    </xdr:to>
    <xdr:pic macro="[0]!ToggleRowColumnsHeaders">
      <xdr:nvPicPr>
        <xdr:cNvPr id="174" name="btnRowCol05">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2152650"/>
          <a:ext cx="142875" cy="142875"/>
        </a:xfrm>
        <a:prstGeom prst="rect">
          <a:avLst/>
        </a:prstGeom>
        <a:noFill/>
        <a:ln w="1">
          <a:noFill/>
          <a:miter lim="800000"/>
          <a:headEnd/>
          <a:tailEnd/>
        </a:ln>
      </xdr:spPr>
    </xdr:pic>
    <xdr:clientData fPrintsWithSheet="0"/>
  </xdr:twoCellAnchor>
  <xdr:twoCellAnchor editAs="oneCell">
    <xdr:from>
      <xdr:col>3</xdr:col>
      <xdr:colOff>6350</xdr:colOff>
      <xdr:row>439</xdr:row>
      <xdr:rowOff>0</xdr:rowOff>
    </xdr:from>
    <xdr:to>
      <xdr:col>3</xdr:col>
      <xdr:colOff>149225</xdr:colOff>
      <xdr:row>440</xdr:row>
      <xdr:rowOff>0</xdr:rowOff>
    </xdr:to>
    <xdr:pic macro="[0]!ToggleRowColumnsHeaders">
      <xdr:nvPicPr>
        <xdr:cNvPr id="175" name="btnRowCol07">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64027050"/>
          <a:ext cx="142875" cy="142875"/>
        </a:xfrm>
        <a:prstGeom prst="rect">
          <a:avLst/>
        </a:prstGeom>
        <a:noFill/>
        <a:ln w="1">
          <a:noFill/>
          <a:miter lim="800000"/>
          <a:headEnd/>
          <a:tailEnd/>
        </a:ln>
      </xdr:spPr>
    </xdr:pic>
    <xdr:clientData fPrintsWithSheet="0"/>
  </xdr:twoCellAnchor>
  <xdr:twoCellAnchor editAs="oneCell">
    <xdr:from>
      <xdr:col>3</xdr:col>
      <xdr:colOff>6350</xdr:colOff>
      <xdr:row>542</xdr:row>
      <xdr:rowOff>0</xdr:rowOff>
    </xdr:from>
    <xdr:to>
      <xdr:col>3</xdr:col>
      <xdr:colOff>149225</xdr:colOff>
      <xdr:row>543</xdr:row>
      <xdr:rowOff>0</xdr:rowOff>
    </xdr:to>
    <xdr:pic macro="[0]!ToggleRowColumnsHeaders">
      <xdr:nvPicPr>
        <xdr:cNvPr id="176" name="btnRowCol08">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76085700"/>
          <a:ext cx="142875" cy="142875"/>
        </a:xfrm>
        <a:prstGeom prst="rect">
          <a:avLst/>
        </a:prstGeom>
        <a:noFill/>
        <a:ln w="1">
          <a:noFill/>
          <a:miter lim="800000"/>
          <a:headEnd/>
          <a:tailEnd/>
        </a:ln>
      </xdr:spPr>
    </xdr:pic>
    <xdr:clientData fPrintsWithSheet="0"/>
  </xdr:twoCellAnchor>
  <xdr:twoCellAnchor editAs="oneCell">
    <xdr:from>
      <xdr:col>3</xdr:col>
      <xdr:colOff>6350</xdr:colOff>
      <xdr:row>630</xdr:row>
      <xdr:rowOff>0</xdr:rowOff>
    </xdr:from>
    <xdr:to>
      <xdr:col>3</xdr:col>
      <xdr:colOff>149225</xdr:colOff>
      <xdr:row>631</xdr:row>
      <xdr:rowOff>0</xdr:rowOff>
    </xdr:to>
    <xdr:pic macro="[0]!ToggleRowColumnsHeaders">
      <xdr:nvPicPr>
        <xdr:cNvPr id="177" name="btnRowCol09">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80648175"/>
          <a:ext cx="142875" cy="142875"/>
        </a:xfrm>
        <a:prstGeom prst="rect">
          <a:avLst/>
        </a:prstGeom>
        <a:noFill/>
        <a:ln w="1">
          <a:noFill/>
          <a:miter lim="800000"/>
          <a:headEnd/>
          <a:tailEnd/>
        </a:ln>
      </xdr:spPr>
    </xdr:pic>
    <xdr:clientData fPrintsWithSheet="0"/>
  </xdr:twoCellAnchor>
  <xdr:twoCellAnchor editAs="oneCell">
    <xdr:from>
      <xdr:col>3</xdr:col>
      <xdr:colOff>6350</xdr:colOff>
      <xdr:row>712</xdr:row>
      <xdr:rowOff>0</xdr:rowOff>
    </xdr:from>
    <xdr:to>
      <xdr:col>3</xdr:col>
      <xdr:colOff>149225</xdr:colOff>
      <xdr:row>713</xdr:row>
      <xdr:rowOff>0</xdr:rowOff>
    </xdr:to>
    <xdr:pic macro="[0]!ToggleRowColumnsHeaders">
      <xdr:nvPicPr>
        <xdr:cNvPr id="178" name="btnRowCol10">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91287600"/>
          <a:ext cx="142875" cy="142875"/>
        </a:xfrm>
        <a:prstGeom prst="rect">
          <a:avLst/>
        </a:prstGeom>
        <a:noFill/>
        <a:ln w="1">
          <a:noFill/>
          <a:miter lim="800000"/>
          <a:headEnd/>
          <a:tailEnd/>
        </a:ln>
      </xdr:spPr>
    </xdr:pic>
    <xdr:clientData fPrintsWithSheet="0"/>
  </xdr:twoCellAnchor>
  <xdr:twoCellAnchor editAs="oneCell">
    <xdr:from>
      <xdr:col>3</xdr:col>
      <xdr:colOff>323850</xdr:colOff>
      <xdr:row>845</xdr:row>
      <xdr:rowOff>0</xdr:rowOff>
    </xdr:from>
    <xdr:to>
      <xdr:col>3</xdr:col>
      <xdr:colOff>476250</xdr:colOff>
      <xdr:row>846</xdr:row>
      <xdr:rowOff>0</xdr:rowOff>
    </xdr:to>
    <xdr:pic macro="[0]!AutoVBA.GotoLastPeriod">
      <xdr:nvPicPr>
        <xdr:cNvPr id="186" name="LastColBtn11" descr="lastcol">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1121568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845</xdr:row>
      <xdr:rowOff>0</xdr:rowOff>
    </xdr:from>
    <xdr:to>
      <xdr:col>3</xdr:col>
      <xdr:colOff>641350</xdr:colOff>
      <xdr:row>846</xdr:row>
      <xdr:rowOff>0</xdr:rowOff>
    </xdr:to>
    <xdr:pic macro="[0]!ToggleHistoryColumns">
      <xdr:nvPicPr>
        <xdr:cNvPr id="187" name="btnHistory11" descr="historybtn">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112156875"/>
          <a:ext cx="152400" cy="142875"/>
        </a:xfrm>
        <a:prstGeom prst="rect">
          <a:avLst/>
        </a:prstGeom>
        <a:noFill/>
        <a:ln w="9525">
          <a:noFill/>
          <a:miter lim="800000"/>
          <a:headEnd/>
          <a:tailEnd/>
        </a:ln>
      </xdr:spPr>
    </xdr:pic>
    <xdr:clientData fPrintsWithSheet="0"/>
  </xdr:twoCellAnchor>
  <xdr:twoCellAnchor editAs="oneCell">
    <xdr:from>
      <xdr:col>3</xdr:col>
      <xdr:colOff>184150</xdr:colOff>
      <xdr:row>845</xdr:row>
      <xdr:rowOff>0</xdr:rowOff>
    </xdr:from>
    <xdr:to>
      <xdr:col>3</xdr:col>
      <xdr:colOff>336550</xdr:colOff>
      <xdr:row>846</xdr:row>
      <xdr:rowOff>0</xdr:rowOff>
    </xdr:to>
    <xdr:pic macro="[0]!AutoVBA.GotoFirstPeriod">
      <xdr:nvPicPr>
        <xdr:cNvPr id="188" name="FirstColBtn11" descr="firstcol">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112156875"/>
          <a:ext cx="152400" cy="142875"/>
        </a:xfrm>
        <a:prstGeom prst="rect">
          <a:avLst/>
        </a:prstGeom>
        <a:noFill/>
        <a:ln w="9525">
          <a:noFill/>
          <a:miter lim="800000"/>
          <a:headEnd/>
          <a:tailEnd/>
        </a:ln>
      </xdr:spPr>
    </xdr:pic>
    <xdr:clientData fPrintsWithSheet="0"/>
  </xdr:twoCellAnchor>
  <xdr:twoCellAnchor editAs="oneCell">
    <xdr:from>
      <xdr:col>1</xdr:col>
      <xdr:colOff>0</xdr:colOff>
      <xdr:row>845</xdr:row>
      <xdr:rowOff>0</xdr:rowOff>
    </xdr:from>
    <xdr:to>
      <xdr:col>1</xdr:col>
      <xdr:colOff>152400</xdr:colOff>
      <xdr:row>846</xdr:row>
      <xdr:rowOff>0</xdr:rowOff>
    </xdr:to>
    <xdr:pic macro="[0]!ShowHideProfitRows">
      <xdr:nvPicPr>
        <xdr:cNvPr id="189" name="btnShowHide06" descr="showhidebtn">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112156875"/>
          <a:ext cx="152400" cy="142875"/>
        </a:xfrm>
        <a:prstGeom prst="rect">
          <a:avLst/>
        </a:prstGeom>
        <a:noFill/>
        <a:ln w="9525">
          <a:noFill/>
          <a:miter lim="800000"/>
          <a:headEnd/>
          <a:tailEnd/>
        </a:ln>
      </xdr:spPr>
    </xdr:pic>
    <xdr:clientData fPrintsWithSheet="0"/>
  </xdr:twoCellAnchor>
  <xdr:twoCellAnchor editAs="oneCell">
    <xdr:from>
      <xdr:col>3</xdr:col>
      <xdr:colOff>6350</xdr:colOff>
      <xdr:row>845</xdr:row>
      <xdr:rowOff>0</xdr:rowOff>
    </xdr:from>
    <xdr:to>
      <xdr:col>3</xdr:col>
      <xdr:colOff>149225</xdr:colOff>
      <xdr:row>846</xdr:row>
      <xdr:rowOff>0</xdr:rowOff>
    </xdr:to>
    <xdr:pic macro="[0]!ToggleRowColumnsHeaders">
      <xdr:nvPicPr>
        <xdr:cNvPr id="190" name="btnRowCol11">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112156875"/>
          <a:ext cx="142875" cy="142875"/>
        </a:xfrm>
        <a:prstGeom prst="rect">
          <a:avLst/>
        </a:prstGeom>
        <a:noFill/>
        <a:ln w="1">
          <a:noFill/>
          <a:miter lim="800000"/>
          <a:headEnd/>
          <a:tailEnd/>
        </a:ln>
      </xdr:spPr>
    </xdr:pic>
    <xdr:clientData fPrintsWithSheet="0"/>
  </xdr:twoCellAnchor>
  <xdr:twoCellAnchor editAs="oneCell">
    <xdr:from>
      <xdr:col>2</xdr:col>
      <xdr:colOff>1914525</xdr:colOff>
      <xdr:row>845</xdr:row>
      <xdr:rowOff>0</xdr:rowOff>
    </xdr:from>
    <xdr:to>
      <xdr:col>2</xdr:col>
      <xdr:colOff>2143125</xdr:colOff>
      <xdr:row>846</xdr:row>
      <xdr:rowOff>0</xdr:rowOff>
    </xdr:to>
    <xdr:pic macro="[0]!Distribute">
      <xdr:nvPicPr>
        <xdr:cNvPr id="191" name="DistBtn10" descr="distbtn2">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31565850"/>
          <a:ext cx="228600" cy="142875"/>
        </a:xfrm>
        <a:prstGeom prst="rect">
          <a:avLst/>
        </a:prstGeom>
        <a:noFill/>
        <a:ln w="9525">
          <a:noFill/>
          <a:miter lim="800000"/>
          <a:headEnd/>
          <a:tailEnd/>
        </a:ln>
      </xdr:spPr>
    </xdr:pic>
    <xdr:clientData fPrintsWithSheet="0"/>
  </xdr:twoCellAnchor>
  <xdr:twoCellAnchor editAs="oneCell">
    <xdr:from>
      <xdr:col>2</xdr:col>
      <xdr:colOff>1019175</xdr:colOff>
      <xdr:row>845</xdr:row>
      <xdr:rowOff>0</xdr:rowOff>
    </xdr:from>
    <xdr:to>
      <xdr:col>2</xdr:col>
      <xdr:colOff>1162050</xdr:colOff>
      <xdr:row>846</xdr:row>
      <xdr:rowOff>0</xdr:rowOff>
    </xdr:to>
    <xdr:pic macro="[0]!DoFormatNumber">
      <xdr:nvPicPr>
        <xdr:cNvPr id="192" name="btnNumber06">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219200" y="112156875"/>
          <a:ext cx="142875" cy="142875"/>
        </a:xfrm>
        <a:prstGeom prst="rect">
          <a:avLst/>
        </a:prstGeom>
        <a:noFill/>
        <a:ln w="1">
          <a:noFill/>
          <a:miter lim="800000"/>
          <a:headEnd/>
          <a:tailEnd/>
        </a:ln>
      </xdr:spPr>
    </xdr:pic>
    <xdr:clientData/>
  </xdr:twoCellAnchor>
  <xdr:twoCellAnchor editAs="oneCell">
    <xdr:from>
      <xdr:col>1</xdr:col>
      <xdr:colOff>12700</xdr:colOff>
      <xdr:row>23</xdr:row>
      <xdr:rowOff>9525</xdr:rowOff>
    </xdr:from>
    <xdr:to>
      <xdr:col>2</xdr:col>
      <xdr:colOff>0</xdr:colOff>
      <xdr:row>29</xdr:row>
      <xdr:rowOff>0</xdr:rowOff>
    </xdr:to>
    <xdr:pic macro="[0]!ChangeDepr">
      <xdr:nvPicPr>
        <xdr:cNvPr id="193" name="btnInv01b" descr="timebtn2b" hidden="1">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305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33</xdr:row>
      <xdr:rowOff>9525</xdr:rowOff>
    </xdr:from>
    <xdr:to>
      <xdr:col>2</xdr:col>
      <xdr:colOff>0</xdr:colOff>
      <xdr:row>39</xdr:row>
      <xdr:rowOff>0</xdr:rowOff>
    </xdr:to>
    <xdr:pic macro="[0]!ChangeDepr">
      <xdr:nvPicPr>
        <xdr:cNvPr id="194" name="btnInv02b" descr="timebtn2b" hidden="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733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43</xdr:row>
      <xdr:rowOff>9525</xdr:rowOff>
    </xdr:from>
    <xdr:to>
      <xdr:col>2</xdr:col>
      <xdr:colOff>0</xdr:colOff>
      <xdr:row>49</xdr:row>
      <xdr:rowOff>3175</xdr:rowOff>
    </xdr:to>
    <xdr:pic macro="[0]!ChangeDepr">
      <xdr:nvPicPr>
        <xdr:cNvPr id="195" name="btnInv03b" descr="timebtn2b" hidden="1">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6162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53</xdr:row>
      <xdr:rowOff>9525</xdr:rowOff>
    </xdr:from>
    <xdr:to>
      <xdr:col>2</xdr:col>
      <xdr:colOff>0</xdr:colOff>
      <xdr:row>318</xdr:row>
      <xdr:rowOff>0</xdr:rowOff>
    </xdr:to>
    <xdr:pic macro="[0]!ChangeDepr">
      <xdr:nvPicPr>
        <xdr:cNvPr id="196" name="btnInv04b" descr="timebtn2b" hidden="1">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7591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63</xdr:row>
      <xdr:rowOff>9525</xdr:rowOff>
    </xdr:from>
    <xdr:to>
      <xdr:col>2</xdr:col>
      <xdr:colOff>0</xdr:colOff>
      <xdr:row>318</xdr:row>
      <xdr:rowOff>0</xdr:rowOff>
    </xdr:to>
    <xdr:pic macro="[0]!ChangeDepr">
      <xdr:nvPicPr>
        <xdr:cNvPr id="197" name="btnInv05b" descr="timebtn2b" hidden="1">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9020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73</xdr:row>
      <xdr:rowOff>9525</xdr:rowOff>
    </xdr:from>
    <xdr:to>
      <xdr:col>2</xdr:col>
      <xdr:colOff>0</xdr:colOff>
      <xdr:row>318</xdr:row>
      <xdr:rowOff>0</xdr:rowOff>
    </xdr:to>
    <xdr:pic macro="[0]!ChangeDepr">
      <xdr:nvPicPr>
        <xdr:cNvPr id="198" name="btnInv06b" descr="timebtn2b" hidden="1">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0448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83</xdr:row>
      <xdr:rowOff>9525</xdr:rowOff>
    </xdr:from>
    <xdr:to>
      <xdr:col>2</xdr:col>
      <xdr:colOff>0</xdr:colOff>
      <xdr:row>318</xdr:row>
      <xdr:rowOff>0</xdr:rowOff>
    </xdr:to>
    <xdr:pic macro="[0]!ChangeDepr">
      <xdr:nvPicPr>
        <xdr:cNvPr id="199" name="btnInv07b" descr="timebtn2b" hidden="1">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1877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93</xdr:row>
      <xdr:rowOff>9525</xdr:rowOff>
    </xdr:from>
    <xdr:to>
      <xdr:col>2</xdr:col>
      <xdr:colOff>0</xdr:colOff>
      <xdr:row>318</xdr:row>
      <xdr:rowOff>0</xdr:rowOff>
    </xdr:to>
    <xdr:pic macro="[0]!ChangeDepr">
      <xdr:nvPicPr>
        <xdr:cNvPr id="200" name="btnInv08b" descr="timebtn2b" hidden="1">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330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103</xdr:row>
      <xdr:rowOff>9525</xdr:rowOff>
    </xdr:from>
    <xdr:to>
      <xdr:col>2</xdr:col>
      <xdr:colOff>0</xdr:colOff>
      <xdr:row>318</xdr:row>
      <xdr:rowOff>0</xdr:rowOff>
    </xdr:to>
    <xdr:pic macro="[0]!ChangeDepr">
      <xdr:nvPicPr>
        <xdr:cNvPr id="201" name="btnInv09b" descr="timebtn2b" hidden="1">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473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113</xdr:row>
      <xdr:rowOff>9525</xdr:rowOff>
    </xdr:from>
    <xdr:to>
      <xdr:col>2</xdr:col>
      <xdr:colOff>0</xdr:colOff>
      <xdr:row>318</xdr:row>
      <xdr:rowOff>6350</xdr:rowOff>
    </xdr:to>
    <xdr:pic macro="[0]!ChangeDepr">
      <xdr:nvPicPr>
        <xdr:cNvPr id="202" name="btnInv10b" descr="timebtn2b" hidden="1">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616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123</xdr:row>
      <xdr:rowOff>9525</xdr:rowOff>
    </xdr:from>
    <xdr:to>
      <xdr:col>2</xdr:col>
      <xdr:colOff>0</xdr:colOff>
      <xdr:row>318</xdr:row>
      <xdr:rowOff>6350</xdr:rowOff>
    </xdr:to>
    <xdr:pic macro="[0]!ChangeDepr">
      <xdr:nvPicPr>
        <xdr:cNvPr id="203" name="btnInv11b" descr="timebtn2b" hidden="1">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759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133</xdr:row>
      <xdr:rowOff>9525</xdr:rowOff>
    </xdr:from>
    <xdr:to>
      <xdr:col>2</xdr:col>
      <xdr:colOff>0</xdr:colOff>
      <xdr:row>318</xdr:row>
      <xdr:rowOff>6350</xdr:rowOff>
    </xdr:to>
    <xdr:pic macro="[0]!ChangeDepr">
      <xdr:nvPicPr>
        <xdr:cNvPr id="204" name="btnInv12b" descr="timebtn2b" hidden="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902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143</xdr:row>
      <xdr:rowOff>9525</xdr:rowOff>
    </xdr:from>
    <xdr:to>
      <xdr:col>2</xdr:col>
      <xdr:colOff>0</xdr:colOff>
      <xdr:row>318</xdr:row>
      <xdr:rowOff>6350</xdr:rowOff>
    </xdr:to>
    <xdr:pic macro="[0]!ChangeDepr">
      <xdr:nvPicPr>
        <xdr:cNvPr id="205" name="btnInv13b" descr="timebtn2b" hidden="1">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045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153</xdr:row>
      <xdr:rowOff>9525</xdr:rowOff>
    </xdr:from>
    <xdr:to>
      <xdr:col>2</xdr:col>
      <xdr:colOff>0</xdr:colOff>
      <xdr:row>318</xdr:row>
      <xdr:rowOff>6350</xdr:rowOff>
    </xdr:to>
    <xdr:pic macro="[0]!ChangeDepr">
      <xdr:nvPicPr>
        <xdr:cNvPr id="206" name="btnInv14b" descr="timebtn2b" hidden="1">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1878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163</xdr:row>
      <xdr:rowOff>9525</xdr:rowOff>
    </xdr:from>
    <xdr:to>
      <xdr:col>2</xdr:col>
      <xdr:colOff>0</xdr:colOff>
      <xdr:row>318</xdr:row>
      <xdr:rowOff>6350</xdr:rowOff>
    </xdr:to>
    <xdr:pic macro="[0]!ChangeDepr">
      <xdr:nvPicPr>
        <xdr:cNvPr id="207" name="btnInv15b" descr="timebtn2b" hidden="1">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3307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173</xdr:row>
      <xdr:rowOff>9525</xdr:rowOff>
    </xdr:from>
    <xdr:to>
      <xdr:col>2</xdr:col>
      <xdr:colOff>0</xdr:colOff>
      <xdr:row>318</xdr:row>
      <xdr:rowOff>6350</xdr:rowOff>
    </xdr:to>
    <xdr:pic macro="[0]!ChangeDepr">
      <xdr:nvPicPr>
        <xdr:cNvPr id="208" name="btnInv16b" descr="timebtn2b" hidden="1">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473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183</xdr:row>
      <xdr:rowOff>9525</xdr:rowOff>
    </xdr:from>
    <xdr:to>
      <xdr:col>2</xdr:col>
      <xdr:colOff>0</xdr:colOff>
      <xdr:row>318</xdr:row>
      <xdr:rowOff>6350</xdr:rowOff>
    </xdr:to>
    <xdr:pic macro="[0]!ChangeDepr">
      <xdr:nvPicPr>
        <xdr:cNvPr id="209" name="btnInv17b" descr="timebtn2b" hidden="1">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616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193</xdr:row>
      <xdr:rowOff>9525</xdr:rowOff>
    </xdr:from>
    <xdr:to>
      <xdr:col>2</xdr:col>
      <xdr:colOff>0</xdr:colOff>
      <xdr:row>318</xdr:row>
      <xdr:rowOff>6350</xdr:rowOff>
    </xdr:to>
    <xdr:pic macro="[0]!ChangeDepr">
      <xdr:nvPicPr>
        <xdr:cNvPr id="210" name="btnInv18b" descr="timebtn2b" hidden="1">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59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203</xdr:row>
      <xdr:rowOff>9525</xdr:rowOff>
    </xdr:from>
    <xdr:to>
      <xdr:col>2</xdr:col>
      <xdr:colOff>0</xdr:colOff>
      <xdr:row>318</xdr:row>
      <xdr:rowOff>6350</xdr:rowOff>
    </xdr:to>
    <xdr:pic macro="[0]!ChangeDepr">
      <xdr:nvPicPr>
        <xdr:cNvPr id="211" name="btnInv19b" descr="timebtn2b" hidden="1">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902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213</xdr:row>
      <xdr:rowOff>9525</xdr:rowOff>
    </xdr:from>
    <xdr:to>
      <xdr:col>2</xdr:col>
      <xdr:colOff>0</xdr:colOff>
      <xdr:row>318</xdr:row>
      <xdr:rowOff>6350</xdr:rowOff>
    </xdr:to>
    <xdr:pic macro="[0]!ChangeDepr">
      <xdr:nvPicPr>
        <xdr:cNvPr id="212" name="btnInv20b" descr="timebtn2b" hidden="1">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045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223</xdr:row>
      <xdr:rowOff>9525</xdr:rowOff>
    </xdr:from>
    <xdr:to>
      <xdr:col>2</xdr:col>
      <xdr:colOff>0</xdr:colOff>
      <xdr:row>318</xdr:row>
      <xdr:rowOff>6350</xdr:rowOff>
    </xdr:to>
    <xdr:pic macro="[0]!ChangeDepr">
      <xdr:nvPicPr>
        <xdr:cNvPr id="213" name="btnInv21b" descr="timebtn2b" hidden="1">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188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233</xdr:row>
      <xdr:rowOff>9525</xdr:rowOff>
    </xdr:from>
    <xdr:to>
      <xdr:col>2</xdr:col>
      <xdr:colOff>0</xdr:colOff>
      <xdr:row>318</xdr:row>
      <xdr:rowOff>6350</xdr:rowOff>
    </xdr:to>
    <xdr:pic macro="[0]!ChangeDepr">
      <xdr:nvPicPr>
        <xdr:cNvPr id="214" name="btnInv22b" descr="timebtn2b" hidden="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3308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243</xdr:row>
      <xdr:rowOff>9525</xdr:rowOff>
    </xdr:from>
    <xdr:to>
      <xdr:col>2</xdr:col>
      <xdr:colOff>0</xdr:colOff>
      <xdr:row>318</xdr:row>
      <xdr:rowOff>6350</xdr:rowOff>
    </xdr:to>
    <xdr:pic macro="[0]!ChangeDepr">
      <xdr:nvPicPr>
        <xdr:cNvPr id="215" name="btnInv23b" descr="timebtn2b" hidden="1">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4737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253</xdr:row>
      <xdr:rowOff>9525</xdr:rowOff>
    </xdr:from>
    <xdr:to>
      <xdr:col>2</xdr:col>
      <xdr:colOff>0</xdr:colOff>
      <xdr:row>318</xdr:row>
      <xdr:rowOff>6350</xdr:rowOff>
    </xdr:to>
    <xdr:pic macro="[0]!ChangeDepr">
      <xdr:nvPicPr>
        <xdr:cNvPr id="216" name="btnInv24b" descr="timebtn2b" hidden="1">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616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263</xdr:row>
      <xdr:rowOff>9525</xdr:rowOff>
    </xdr:from>
    <xdr:to>
      <xdr:col>2</xdr:col>
      <xdr:colOff>0</xdr:colOff>
      <xdr:row>318</xdr:row>
      <xdr:rowOff>6350</xdr:rowOff>
    </xdr:to>
    <xdr:pic macro="[0]!ChangeDepr">
      <xdr:nvPicPr>
        <xdr:cNvPr id="217" name="btnInv25b" descr="timebtn2b" hidden="1">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759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273</xdr:row>
      <xdr:rowOff>9525</xdr:rowOff>
    </xdr:from>
    <xdr:to>
      <xdr:col>2</xdr:col>
      <xdr:colOff>0</xdr:colOff>
      <xdr:row>318</xdr:row>
      <xdr:rowOff>6350</xdr:rowOff>
    </xdr:to>
    <xdr:pic macro="[0]!ChangeDepr">
      <xdr:nvPicPr>
        <xdr:cNvPr id="218" name="btnInv26b" descr="timebtn2b" hidden="1">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902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283</xdr:row>
      <xdr:rowOff>9525</xdr:rowOff>
    </xdr:from>
    <xdr:to>
      <xdr:col>2</xdr:col>
      <xdr:colOff>0</xdr:colOff>
      <xdr:row>318</xdr:row>
      <xdr:rowOff>6350</xdr:rowOff>
    </xdr:to>
    <xdr:pic macro="[0]!ChangeDepr">
      <xdr:nvPicPr>
        <xdr:cNvPr id="219" name="btnInv27b" descr="timebtn2b" hidden="1">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045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293</xdr:row>
      <xdr:rowOff>9525</xdr:rowOff>
    </xdr:from>
    <xdr:to>
      <xdr:col>2</xdr:col>
      <xdr:colOff>0</xdr:colOff>
      <xdr:row>318</xdr:row>
      <xdr:rowOff>6350</xdr:rowOff>
    </xdr:to>
    <xdr:pic macro="[0]!ChangeDepr">
      <xdr:nvPicPr>
        <xdr:cNvPr id="220" name="btnInv28b" descr="timebtn2b" hidden="1">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88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303</xdr:row>
      <xdr:rowOff>9525</xdr:rowOff>
    </xdr:from>
    <xdr:to>
      <xdr:col>2</xdr:col>
      <xdr:colOff>0</xdr:colOff>
      <xdr:row>318</xdr:row>
      <xdr:rowOff>6350</xdr:rowOff>
    </xdr:to>
    <xdr:pic macro="[0]!ChangeDepr">
      <xdr:nvPicPr>
        <xdr:cNvPr id="221" name="btnInv29b" descr="timebtn2b" hidden="1">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331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313</xdr:row>
      <xdr:rowOff>9525</xdr:rowOff>
    </xdr:from>
    <xdr:to>
      <xdr:col>2</xdr:col>
      <xdr:colOff>0</xdr:colOff>
      <xdr:row>318</xdr:row>
      <xdr:rowOff>6350</xdr:rowOff>
    </xdr:to>
    <xdr:pic macro="[0]!ChangeDepr">
      <xdr:nvPicPr>
        <xdr:cNvPr id="222" name="btnInv30b" descr="timebtn2b" hidden="1">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4738925"/>
          <a:ext cx="152400" cy="149225"/>
        </a:xfrm>
        <a:prstGeom prst="rect">
          <a:avLst/>
        </a:prstGeom>
        <a:noFill/>
        <a:ln w="9525">
          <a:noFill/>
          <a:miter lim="800000"/>
          <a:headEnd/>
          <a:tailEnd/>
        </a:ln>
      </xdr:spPr>
    </xdr:pic>
    <xdr:clientData fPrintsWithSheet="0"/>
  </xdr:twoCellAnchor>
  <xdr:twoCellAnchor editAs="oneCell">
    <xdr:from>
      <xdr:col>2</xdr:col>
      <xdr:colOff>3175</xdr:colOff>
      <xdr:row>701</xdr:row>
      <xdr:rowOff>28575</xdr:rowOff>
    </xdr:from>
    <xdr:to>
      <xdr:col>2</xdr:col>
      <xdr:colOff>117475</xdr:colOff>
      <xdr:row>706</xdr:row>
      <xdr:rowOff>104775</xdr:rowOff>
    </xdr:to>
    <xdr:pic macro="[0]!ToggleRowSpec">
      <xdr:nvPicPr>
        <xdr:cNvPr id="223" name="btnRSpec050" hidden="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658825"/>
          <a:ext cx="114300" cy="104775"/>
        </a:xfrm>
        <a:prstGeom prst="rect">
          <a:avLst/>
        </a:prstGeom>
        <a:noFill/>
        <a:ln w="9525">
          <a:noFill/>
          <a:miter lim="800000"/>
          <a:headEnd/>
          <a:tailEnd/>
        </a:ln>
      </xdr:spPr>
    </xdr:pic>
    <xdr:clientData fPrintsWithSheet="0"/>
  </xdr:twoCellAnchor>
  <xdr:twoCellAnchor editAs="oneCell">
    <xdr:from>
      <xdr:col>2</xdr:col>
      <xdr:colOff>3175</xdr:colOff>
      <xdr:row>702</xdr:row>
      <xdr:rowOff>28575</xdr:rowOff>
    </xdr:from>
    <xdr:to>
      <xdr:col>2</xdr:col>
      <xdr:colOff>117475</xdr:colOff>
      <xdr:row>706</xdr:row>
      <xdr:rowOff>104775</xdr:rowOff>
    </xdr:to>
    <xdr:pic macro="[0]!ToggleRowSpec">
      <xdr:nvPicPr>
        <xdr:cNvPr id="224" name="btnRSpec051" hidden="1">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811225"/>
          <a:ext cx="114300" cy="104775"/>
        </a:xfrm>
        <a:prstGeom prst="rect">
          <a:avLst/>
        </a:prstGeom>
        <a:noFill/>
        <a:ln w="9525">
          <a:noFill/>
          <a:miter lim="800000"/>
          <a:headEnd/>
          <a:tailEnd/>
        </a:ln>
      </xdr:spPr>
    </xdr:pic>
    <xdr:clientData fPrintsWithSheet="0"/>
  </xdr:twoCellAnchor>
  <xdr:twoCellAnchor editAs="oneCell">
    <xdr:from>
      <xdr:col>2</xdr:col>
      <xdr:colOff>3175</xdr:colOff>
      <xdr:row>703</xdr:row>
      <xdr:rowOff>28575</xdr:rowOff>
    </xdr:from>
    <xdr:to>
      <xdr:col>2</xdr:col>
      <xdr:colOff>117475</xdr:colOff>
      <xdr:row>706</xdr:row>
      <xdr:rowOff>104775</xdr:rowOff>
    </xdr:to>
    <xdr:pic macro="[0]!ToggleRowSpec">
      <xdr:nvPicPr>
        <xdr:cNvPr id="225" name="btnRSpec052" hidden="1">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963625"/>
          <a:ext cx="114300" cy="104775"/>
        </a:xfrm>
        <a:prstGeom prst="rect">
          <a:avLst/>
        </a:prstGeom>
        <a:noFill/>
        <a:ln w="9525">
          <a:noFill/>
          <a:miter lim="800000"/>
          <a:headEnd/>
          <a:tailEnd/>
        </a:ln>
      </xdr:spPr>
    </xdr:pic>
    <xdr:clientData fPrintsWithSheet="0"/>
  </xdr:twoCellAnchor>
  <xdr:twoCellAnchor editAs="oneCell">
    <xdr:from>
      <xdr:col>2</xdr:col>
      <xdr:colOff>3175</xdr:colOff>
      <xdr:row>705</xdr:row>
      <xdr:rowOff>28575</xdr:rowOff>
    </xdr:from>
    <xdr:to>
      <xdr:col>2</xdr:col>
      <xdr:colOff>117475</xdr:colOff>
      <xdr:row>706</xdr:row>
      <xdr:rowOff>104775</xdr:rowOff>
    </xdr:to>
    <xdr:pic macro="[0]!ToggleRowSpec">
      <xdr:nvPicPr>
        <xdr:cNvPr id="226" name="btnRSpec053" hidden="1">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90268425"/>
          <a:ext cx="114300" cy="104775"/>
        </a:xfrm>
        <a:prstGeom prst="rect">
          <a:avLst/>
        </a:prstGeom>
        <a:noFill/>
        <a:ln w="9525">
          <a:noFill/>
          <a:miter lim="800000"/>
          <a:headEnd/>
          <a:tailEnd/>
        </a:ln>
      </xdr:spPr>
    </xdr:pic>
    <xdr:clientData fPrintsWithSheet="0"/>
  </xdr:twoCellAnchor>
  <xdr:twoCellAnchor editAs="oneCell">
    <xdr:from>
      <xdr:col>2</xdr:col>
      <xdr:colOff>3175</xdr:colOff>
      <xdr:row>694</xdr:row>
      <xdr:rowOff>28575</xdr:rowOff>
    </xdr:from>
    <xdr:to>
      <xdr:col>2</xdr:col>
      <xdr:colOff>117475</xdr:colOff>
      <xdr:row>695</xdr:row>
      <xdr:rowOff>104775</xdr:rowOff>
    </xdr:to>
    <xdr:pic macro="[0]!ToggleRowSpec">
      <xdr:nvPicPr>
        <xdr:cNvPr id="227" name="btnRSpec054" hidden="1">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8592025"/>
          <a:ext cx="114300" cy="104775"/>
        </a:xfrm>
        <a:prstGeom prst="rect">
          <a:avLst/>
        </a:prstGeom>
        <a:noFill/>
        <a:ln w="9525">
          <a:noFill/>
          <a:miter lim="800000"/>
          <a:headEnd/>
          <a:tailEnd/>
        </a:ln>
      </xdr:spPr>
    </xdr:pic>
    <xdr:clientData fPrintsWithSheet="0"/>
  </xdr:twoCellAnchor>
  <xdr:twoCellAnchor editAs="oneCell">
    <xdr:from>
      <xdr:col>1</xdr:col>
      <xdr:colOff>12700</xdr:colOff>
      <xdr:row>695</xdr:row>
      <xdr:rowOff>9525</xdr:rowOff>
    </xdr:from>
    <xdr:to>
      <xdr:col>2</xdr:col>
      <xdr:colOff>0</xdr:colOff>
      <xdr:row>696</xdr:row>
      <xdr:rowOff>0</xdr:rowOff>
    </xdr:to>
    <xdr:pic macro="[0]!ToggleRowSpec">
      <xdr:nvPicPr>
        <xdr:cNvPr id="228" name="btnRSpec031" descr="rspecB">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87253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506</xdr:row>
      <xdr:rowOff>9525</xdr:rowOff>
    </xdr:from>
    <xdr:to>
      <xdr:col>2</xdr:col>
      <xdr:colOff>0</xdr:colOff>
      <xdr:row>507</xdr:row>
      <xdr:rowOff>9525</xdr:rowOff>
    </xdr:to>
    <xdr:pic macro="[0]!ToggleRowSpec">
      <xdr:nvPicPr>
        <xdr:cNvPr id="229" name="btnRSpec032" descr="rspecB">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709612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838</xdr:row>
      <xdr:rowOff>9525</xdr:rowOff>
    </xdr:from>
    <xdr:to>
      <xdr:col>3</xdr:col>
      <xdr:colOff>641350</xdr:colOff>
      <xdr:row>842</xdr:row>
      <xdr:rowOff>85725</xdr:rowOff>
    </xdr:to>
    <xdr:pic macro="[0]!ShowImpairmentTestOptions">
      <xdr:nvPicPr>
        <xdr:cNvPr id="230" name="btnImpairmentBV" descr="timebtn2b" hidden="1">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111185325"/>
          <a:ext cx="152400" cy="142875"/>
        </a:xfrm>
        <a:prstGeom prst="rect">
          <a:avLst/>
        </a:prstGeom>
        <a:noFill/>
        <a:ln w="9525">
          <a:noFill/>
          <a:miter lim="800000"/>
          <a:headEnd/>
          <a:tailEnd/>
        </a:ln>
      </xdr:spPr>
    </xdr:pic>
    <xdr:clientData fPrintsWithSheet="0"/>
  </xdr:twoCellAnchor>
  <xdr:twoCellAnchor editAs="oneCell">
    <xdr:from>
      <xdr:col>2</xdr:col>
      <xdr:colOff>3175</xdr:colOff>
      <xdr:row>746</xdr:row>
      <xdr:rowOff>38100</xdr:rowOff>
    </xdr:from>
    <xdr:to>
      <xdr:col>2</xdr:col>
      <xdr:colOff>107950</xdr:colOff>
      <xdr:row>754</xdr:row>
      <xdr:rowOff>104775</xdr:rowOff>
    </xdr:to>
    <xdr:pic macro="[0]!FlipAsset">
      <xdr:nvPicPr>
        <xdr:cNvPr id="231" name="btnFlipAsset13" hidden="1">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7088325"/>
          <a:ext cx="104775" cy="104775"/>
        </a:xfrm>
        <a:prstGeom prst="rect">
          <a:avLst/>
        </a:prstGeom>
        <a:noFill/>
        <a:ln w="9525">
          <a:noFill/>
          <a:miter lim="800000"/>
          <a:headEnd/>
          <a:tailEnd/>
        </a:ln>
      </xdr:spPr>
    </xdr:pic>
    <xdr:clientData fPrintsWithSheet="0"/>
  </xdr:twoCellAnchor>
  <xdr:twoCellAnchor editAs="oneCell">
    <xdr:from>
      <xdr:col>1</xdr:col>
      <xdr:colOff>12700</xdr:colOff>
      <xdr:row>450</xdr:row>
      <xdr:rowOff>0</xdr:rowOff>
    </xdr:from>
    <xdr:to>
      <xdr:col>2</xdr:col>
      <xdr:colOff>0</xdr:colOff>
      <xdr:row>455</xdr:row>
      <xdr:rowOff>142875</xdr:rowOff>
    </xdr:to>
    <xdr:pic macro="[0]!ToggleRowSpec">
      <xdr:nvPicPr>
        <xdr:cNvPr id="232" name="btnRSpec061" descr="rspecB" hidden="1">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451</xdr:row>
      <xdr:rowOff>0</xdr:rowOff>
    </xdr:from>
    <xdr:to>
      <xdr:col>2</xdr:col>
      <xdr:colOff>0</xdr:colOff>
      <xdr:row>455</xdr:row>
      <xdr:rowOff>142875</xdr:rowOff>
    </xdr:to>
    <xdr:pic macro="[0]!ToggleRowSpec">
      <xdr:nvPicPr>
        <xdr:cNvPr id="233" name="btnRSpec062" descr="rspecB" hidden="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452</xdr:row>
      <xdr:rowOff>0</xdr:rowOff>
    </xdr:from>
    <xdr:to>
      <xdr:col>2</xdr:col>
      <xdr:colOff>0</xdr:colOff>
      <xdr:row>455</xdr:row>
      <xdr:rowOff>142875</xdr:rowOff>
    </xdr:to>
    <xdr:pic macro="[0]!ToggleRowSpec">
      <xdr:nvPicPr>
        <xdr:cNvPr id="234" name="btnRSpec063" descr="rspecB" hidden="1">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453</xdr:row>
      <xdr:rowOff>0</xdr:rowOff>
    </xdr:from>
    <xdr:to>
      <xdr:col>2</xdr:col>
      <xdr:colOff>0</xdr:colOff>
      <xdr:row>455</xdr:row>
      <xdr:rowOff>142875</xdr:rowOff>
    </xdr:to>
    <xdr:pic macro="[0]!ToggleRowSpec">
      <xdr:nvPicPr>
        <xdr:cNvPr id="235" name="btnRSpec064" descr="rspecB" hidden="1">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454</xdr:row>
      <xdr:rowOff>0</xdr:rowOff>
    </xdr:from>
    <xdr:to>
      <xdr:col>2</xdr:col>
      <xdr:colOff>0</xdr:colOff>
      <xdr:row>455</xdr:row>
      <xdr:rowOff>142875</xdr:rowOff>
    </xdr:to>
    <xdr:pic macro="[0]!ToggleRowSpec">
      <xdr:nvPicPr>
        <xdr:cNvPr id="236" name="btnRSpec065" descr="rspecB" hidden="1">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467</xdr:row>
      <xdr:rowOff>0</xdr:rowOff>
    </xdr:from>
    <xdr:to>
      <xdr:col>2</xdr:col>
      <xdr:colOff>0</xdr:colOff>
      <xdr:row>472</xdr:row>
      <xdr:rowOff>0</xdr:rowOff>
    </xdr:to>
    <xdr:pic macro="[0]!ToggleRowSpec">
      <xdr:nvPicPr>
        <xdr:cNvPr id="237" name="btnRSpec071" descr="rspecB" hidden="1">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468</xdr:row>
      <xdr:rowOff>0</xdr:rowOff>
    </xdr:from>
    <xdr:to>
      <xdr:col>2</xdr:col>
      <xdr:colOff>0</xdr:colOff>
      <xdr:row>472</xdr:row>
      <xdr:rowOff>0</xdr:rowOff>
    </xdr:to>
    <xdr:pic macro="[0]!ToggleRowSpec">
      <xdr:nvPicPr>
        <xdr:cNvPr id="238" name="btnRSpec072" descr="rspecB" hidden="1">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469</xdr:row>
      <xdr:rowOff>0</xdr:rowOff>
    </xdr:from>
    <xdr:to>
      <xdr:col>2</xdr:col>
      <xdr:colOff>0</xdr:colOff>
      <xdr:row>472</xdr:row>
      <xdr:rowOff>0</xdr:rowOff>
    </xdr:to>
    <xdr:pic macro="[0]!ToggleRowSpec">
      <xdr:nvPicPr>
        <xdr:cNvPr id="239" name="btnRSpec073" descr="rspecB" hidden="1">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470</xdr:row>
      <xdr:rowOff>0</xdr:rowOff>
    </xdr:from>
    <xdr:to>
      <xdr:col>2</xdr:col>
      <xdr:colOff>0</xdr:colOff>
      <xdr:row>472</xdr:row>
      <xdr:rowOff>0</xdr:rowOff>
    </xdr:to>
    <xdr:pic macro="[0]!ToggleRowSpec">
      <xdr:nvPicPr>
        <xdr:cNvPr id="240" name="btnRSpec074" descr="rspecB" hidden="1">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481</xdr:row>
      <xdr:rowOff>0</xdr:rowOff>
    </xdr:from>
    <xdr:to>
      <xdr:col>2</xdr:col>
      <xdr:colOff>0</xdr:colOff>
      <xdr:row>487</xdr:row>
      <xdr:rowOff>142875</xdr:rowOff>
    </xdr:to>
    <xdr:pic macro="[0]!ToggleRowSpec">
      <xdr:nvPicPr>
        <xdr:cNvPr id="243" name="btnRSpec081" descr="rspecB" hidden="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482</xdr:row>
      <xdr:rowOff>0</xdr:rowOff>
    </xdr:from>
    <xdr:to>
      <xdr:col>2</xdr:col>
      <xdr:colOff>0</xdr:colOff>
      <xdr:row>487</xdr:row>
      <xdr:rowOff>142875</xdr:rowOff>
    </xdr:to>
    <xdr:pic macro="[0]!ToggleRowSpec">
      <xdr:nvPicPr>
        <xdr:cNvPr id="244" name="btnRSpec082" descr="rspecB" hidden="1">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483</xdr:row>
      <xdr:rowOff>0</xdr:rowOff>
    </xdr:from>
    <xdr:to>
      <xdr:col>2</xdr:col>
      <xdr:colOff>0</xdr:colOff>
      <xdr:row>487</xdr:row>
      <xdr:rowOff>142875</xdr:rowOff>
    </xdr:to>
    <xdr:pic macro="[0]!ToggleRowSpec">
      <xdr:nvPicPr>
        <xdr:cNvPr id="245" name="btnRSpec083" descr="rspecB" hidden="1">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484</xdr:row>
      <xdr:rowOff>0</xdr:rowOff>
    </xdr:from>
    <xdr:to>
      <xdr:col>2</xdr:col>
      <xdr:colOff>0</xdr:colOff>
      <xdr:row>487</xdr:row>
      <xdr:rowOff>142875</xdr:rowOff>
    </xdr:to>
    <xdr:pic macro="[0]!ToggleRowSpec">
      <xdr:nvPicPr>
        <xdr:cNvPr id="246" name="btnRSpec084" descr="rspecB" hidden="1">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3</xdr:col>
      <xdr:colOff>19052</xdr:colOff>
      <xdr:row>8</xdr:row>
      <xdr:rowOff>114300</xdr:rowOff>
    </xdr:from>
    <xdr:to>
      <xdr:col>3</xdr:col>
      <xdr:colOff>295277</xdr:colOff>
      <xdr:row>14</xdr:row>
      <xdr:rowOff>161925</xdr:rowOff>
    </xdr:to>
    <xdr:pic macro="[0]!CameraButtonPressed">
      <xdr:nvPicPr>
        <xdr:cNvPr id="248" name="btnCamInvestTableFull" descr="CameraBtnSmall.bmp">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19" cstate="print"/>
        <a:stretch>
          <a:fillRect/>
        </a:stretch>
      </xdr:blipFill>
      <xdr:spPr>
        <a:xfrm>
          <a:off x="2400302" y="257175"/>
          <a:ext cx="276225" cy="200025"/>
        </a:xfrm>
        <a:prstGeom prst="rect">
          <a:avLst/>
        </a:prstGeom>
      </xdr:spPr>
    </xdr:pic>
    <xdr:clientData fPrintsWithSheet="0"/>
  </xdr:twoCellAnchor>
  <xdr:twoCellAnchor editAs="oneCell">
    <xdr:from>
      <xdr:col>3</xdr:col>
      <xdr:colOff>19049</xdr:colOff>
      <xdr:row>437</xdr:row>
      <xdr:rowOff>114300</xdr:rowOff>
    </xdr:from>
    <xdr:to>
      <xdr:col>3</xdr:col>
      <xdr:colOff>295274</xdr:colOff>
      <xdr:row>438</xdr:row>
      <xdr:rowOff>161925</xdr:rowOff>
    </xdr:to>
    <xdr:pic macro="[0]!CameraButtonPressed">
      <xdr:nvPicPr>
        <xdr:cNvPr id="249" name="btnCamIncomeTableFull" descr="CameraBtnSmall.bmp">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19" cstate="print"/>
        <a:stretch>
          <a:fillRect/>
        </a:stretch>
      </xdr:blipFill>
      <xdr:spPr>
        <a:xfrm>
          <a:off x="2400299" y="6096000"/>
          <a:ext cx="276225" cy="200025"/>
        </a:xfrm>
        <a:prstGeom prst="rect">
          <a:avLst/>
        </a:prstGeom>
      </xdr:spPr>
    </xdr:pic>
    <xdr:clientData fPrintsWithSheet="0"/>
  </xdr:twoCellAnchor>
  <xdr:twoCellAnchor editAs="oneCell">
    <xdr:from>
      <xdr:col>3</xdr:col>
      <xdr:colOff>19051</xdr:colOff>
      <xdr:row>540</xdr:row>
      <xdr:rowOff>104775</xdr:rowOff>
    </xdr:from>
    <xdr:to>
      <xdr:col>3</xdr:col>
      <xdr:colOff>295276</xdr:colOff>
      <xdr:row>541</xdr:row>
      <xdr:rowOff>152400</xdr:rowOff>
    </xdr:to>
    <xdr:pic macro="[0]!CameraButtonPressed">
      <xdr:nvPicPr>
        <xdr:cNvPr id="250" name="btnCamWorkingCapitalFull" descr="CameraBtnSmall.bmp">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19" cstate="print"/>
        <a:stretch>
          <a:fillRect/>
        </a:stretch>
      </xdr:blipFill>
      <xdr:spPr>
        <a:xfrm>
          <a:off x="2400301" y="17145000"/>
          <a:ext cx="276225" cy="200025"/>
        </a:xfrm>
        <a:prstGeom prst="rect">
          <a:avLst/>
        </a:prstGeom>
      </xdr:spPr>
    </xdr:pic>
    <xdr:clientData fPrintsWithSheet="0"/>
  </xdr:twoCellAnchor>
  <xdr:twoCellAnchor editAs="oneCell">
    <xdr:from>
      <xdr:col>3</xdr:col>
      <xdr:colOff>19050</xdr:colOff>
      <xdr:row>628</xdr:row>
      <xdr:rowOff>104775</xdr:rowOff>
    </xdr:from>
    <xdr:to>
      <xdr:col>3</xdr:col>
      <xdr:colOff>295275</xdr:colOff>
      <xdr:row>629</xdr:row>
      <xdr:rowOff>152400</xdr:rowOff>
    </xdr:to>
    <xdr:pic macro="[0]!CameraButtonPressed">
      <xdr:nvPicPr>
        <xdr:cNvPr id="251" name="btnCamCashFlowTableFull" descr="CameraBtnSmall.bmp">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19" cstate="print"/>
        <a:stretch>
          <a:fillRect/>
        </a:stretch>
      </xdr:blipFill>
      <xdr:spPr>
        <a:xfrm>
          <a:off x="2400300" y="21707475"/>
          <a:ext cx="276225" cy="200025"/>
        </a:xfrm>
        <a:prstGeom prst="rect">
          <a:avLst/>
        </a:prstGeom>
      </xdr:spPr>
    </xdr:pic>
    <xdr:clientData fPrintsWithSheet="0"/>
  </xdr:twoCellAnchor>
  <xdr:twoCellAnchor editAs="oneCell">
    <xdr:from>
      <xdr:col>3</xdr:col>
      <xdr:colOff>19050</xdr:colOff>
      <xdr:row>710</xdr:row>
      <xdr:rowOff>114300</xdr:rowOff>
    </xdr:from>
    <xdr:to>
      <xdr:col>3</xdr:col>
      <xdr:colOff>295275</xdr:colOff>
      <xdr:row>711</xdr:row>
      <xdr:rowOff>161925</xdr:rowOff>
    </xdr:to>
    <xdr:pic macro="[0]!CameraButtonPressed">
      <xdr:nvPicPr>
        <xdr:cNvPr id="252" name="btnCamBalanceTableFull" descr="CameraBtnSmall.bmp">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19" cstate="print"/>
        <a:stretch>
          <a:fillRect/>
        </a:stretch>
      </xdr:blipFill>
      <xdr:spPr>
        <a:xfrm>
          <a:off x="2400300" y="25803225"/>
          <a:ext cx="276225" cy="200025"/>
        </a:xfrm>
        <a:prstGeom prst="rect">
          <a:avLst/>
        </a:prstGeom>
      </xdr:spPr>
    </xdr:pic>
    <xdr:clientData fPrintsWithSheet="0"/>
  </xdr:twoCellAnchor>
  <xdr:twoCellAnchor editAs="oneCell">
    <xdr:from>
      <xdr:col>3</xdr:col>
      <xdr:colOff>21430</xdr:colOff>
      <xdr:row>843</xdr:row>
      <xdr:rowOff>114300</xdr:rowOff>
    </xdr:from>
    <xdr:to>
      <xdr:col>3</xdr:col>
      <xdr:colOff>297655</xdr:colOff>
      <xdr:row>844</xdr:row>
      <xdr:rowOff>171450</xdr:rowOff>
    </xdr:to>
    <xdr:pic macro="[0]!CameraButtonPressed">
      <xdr:nvPicPr>
        <xdr:cNvPr id="253" name="btnCamKeyFiguresTableFull" descr="CameraBtnSmall.bmp">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19" cstate="print"/>
        <a:stretch>
          <a:fillRect/>
        </a:stretch>
      </xdr:blipFill>
      <xdr:spPr>
        <a:xfrm>
          <a:off x="2402680" y="31337250"/>
          <a:ext cx="276225" cy="200025"/>
        </a:xfrm>
        <a:prstGeom prst="rect">
          <a:avLst/>
        </a:prstGeom>
      </xdr:spPr>
    </xdr:pic>
    <xdr:clientData fPrintsWithSheet="0"/>
  </xdr:twoCellAnchor>
  <xdr:twoCellAnchor editAs="oneCell">
    <xdr:from>
      <xdr:col>1</xdr:col>
      <xdr:colOff>9525</xdr:colOff>
      <xdr:row>576</xdr:row>
      <xdr:rowOff>9525</xdr:rowOff>
    </xdr:from>
    <xdr:to>
      <xdr:col>2</xdr:col>
      <xdr:colOff>0</xdr:colOff>
      <xdr:row>577</xdr:row>
      <xdr:rowOff>9525</xdr:rowOff>
    </xdr:to>
    <xdr:pic macro="[0]!WorkingCapitalOptions">
      <xdr:nvPicPr>
        <xdr:cNvPr id="254" name="btnInvent01" descr="timebtn2b">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96977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580</xdr:row>
      <xdr:rowOff>9525</xdr:rowOff>
    </xdr:from>
    <xdr:to>
      <xdr:col>2</xdr:col>
      <xdr:colOff>0</xdr:colOff>
      <xdr:row>596</xdr:row>
      <xdr:rowOff>0</xdr:rowOff>
    </xdr:to>
    <xdr:pic macro="[0]!WorkingCapitalOptions">
      <xdr:nvPicPr>
        <xdr:cNvPr id="255" name="btnInvent02" descr="timebtn2b" hidden="1">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2692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584</xdr:row>
      <xdr:rowOff>9525</xdr:rowOff>
    </xdr:from>
    <xdr:to>
      <xdr:col>2</xdr:col>
      <xdr:colOff>0</xdr:colOff>
      <xdr:row>596</xdr:row>
      <xdr:rowOff>0</xdr:rowOff>
    </xdr:to>
    <xdr:pic macro="[0]!WorkingCapitalOptions">
      <xdr:nvPicPr>
        <xdr:cNvPr id="256" name="btnInvent03" descr="timebtn2b" hidden="1">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8407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588</xdr:row>
      <xdr:rowOff>9525</xdr:rowOff>
    </xdr:from>
    <xdr:to>
      <xdr:col>2</xdr:col>
      <xdr:colOff>0</xdr:colOff>
      <xdr:row>596</xdr:row>
      <xdr:rowOff>0</xdr:rowOff>
    </xdr:to>
    <xdr:pic macro="[0]!WorkingCapitalOptions">
      <xdr:nvPicPr>
        <xdr:cNvPr id="257" name="btnInvent04" descr="timebtn2b" hidden="1">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2974300"/>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574</xdr:row>
      <xdr:rowOff>28575</xdr:rowOff>
    </xdr:from>
    <xdr:to>
      <xdr:col>3</xdr:col>
      <xdr:colOff>628650</xdr:colOff>
      <xdr:row>574</xdr:row>
      <xdr:rowOff>133350</xdr:rowOff>
    </xdr:to>
    <xdr:pic macro="[0]!WorkingCapitalSpec">
      <xdr:nvPicPr>
        <xdr:cNvPr id="259" name="btnInventSpec">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17706975"/>
          <a:ext cx="114300" cy="104775"/>
        </a:xfrm>
        <a:prstGeom prst="rect">
          <a:avLst/>
        </a:prstGeom>
        <a:noFill/>
        <a:ln w="9525">
          <a:noFill/>
          <a:miter lim="800000"/>
          <a:headEnd/>
          <a:tailEnd/>
        </a:ln>
      </xdr:spPr>
    </xdr:pic>
    <xdr:clientData fPrintsWithSheet="0"/>
  </xdr:twoCellAnchor>
  <xdr:twoCellAnchor editAs="oneCell">
    <xdr:from>
      <xdr:col>1</xdr:col>
      <xdr:colOff>9525</xdr:colOff>
      <xdr:row>592</xdr:row>
      <xdr:rowOff>9525</xdr:rowOff>
    </xdr:from>
    <xdr:to>
      <xdr:col>2</xdr:col>
      <xdr:colOff>0</xdr:colOff>
      <xdr:row>596</xdr:row>
      <xdr:rowOff>0</xdr:rowOff>
    </xdr:to>
    <xdr:pic macro="[0]!WorkingCapitalOptions">
      <xdr:nvPicPr>
        <xdr:cNvPr id="258" name="btnInvent05" descr="timebtn2b" hidden="1">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259675"/>
          <a:ext cx="152400" cy="142875"/>
        </a:xfrm>
        <a:prstGeom prst="rect">
          <a:avLst/>
        </a:prstGeom>
        <a:noFill/>
        <a:ln w="9525">
          <a:noFill/>
          <a:miter lim="800000"/>
          <a:headEnd/>
          <a:tailEnd/>
        </a:ln>
      </xdr:spPr>
    </xdr:pic>
    <xdr:clientData fPrintsWithSheet="0"/>
  </xdr:twoCellAnchor>
  <xdr:twoCellAnchor editAs="oneCell">
    <xdr:from>
      <xdr:col>1</xdr:col>
      <xdr:colOff>9525</xdr:colOff>
      <xdr:row>546</xdr:row>
      <xdr:rowOff>9525</xdr:rowOff>
    </xdr:from>
    <xdr:to>
      <xdr:col>2</xdr:col>
      <xdr:colOff>0</xdr:colOff>
      <xdr:row>547</xdr:row>
      <xdr:rowOff>9525</xdr:rowOff>
    </xdr:to>
    <xdr:pic macro="[0]!WorkingCapitalOptions">
      <xdr:nvPicPr>
        <xdr:cNvPr id="260" name="btnReceive01" descr="timebtn2b">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6544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550</xdr:row>
      <xdr:rowOff>9525</xdr:rowOff>
    </xdr:from>
    <xdr:to>
      <xdr:col>2</xdr:col>
      <xdr:colOff>0</xdr:colOff>
      <xdr:row>574</xdr:row>
      <xdr:rowOff>0</xdr:rowOff>
    </xdr:to>
    <xdr:pic macro="[0]!WorkingCapitalOptions">
      <xdr:nvPicPr>
        <xdr:cNvPr id="261" name="btnReceive02" descr="timebtn2b" hidden="1">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7116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554</xdr:row>
      <xdr:rowOff>9525</xdr:rowOff>
    </xdr:from>
    <xdr:to>
      <xdr:col>2</xdr:col>
      <xdr:colOff>0</xdr:colOff>
      <xdr:row>574</xdr:row>
      <xdr:rowOff>0</xdr:rowOff>
    </xdr:to>
    <xdr:pic macro="[0]!WorkingCapitalOptions">
      <xdr:nvPicPr>
        <xdr:cNvPr id="262" name="btnReceive03" descr="timebtn2b" hidden="1">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7687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558</xdr:row>
      <xdr:rowOff>9525</xdr:rowOff>
    </xdr:from>
    <xdr:to>
      <xdr:col>2</xdr:col>
      <xdr:colOff>0</xdr:colOff>
      <xdr:row>574</xdr:row>
      <xdr:rowOff>0</xdr:rowOff>
    </xdr:to>
    <xdr:pic macro="[0]!WorkingCapitalOptions">
      <xdr:nvPicPr>
        <xdr:cNvPr id="263" name="btnReceive04" descr="timebtn2b" hidden="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8259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562</xdr:row>
      <xdr:rowOff>9525</xdr:rowOff>
    </xdr:from>
    <xdr:to>
      <xdr:col>2</xdr:col>
      <xdr:colOff>0</xdr:colOff>
      <xdr:row>574</xdr:row>
      <xdr:rowOff>0</xdr:rowOff>
    </xdr:to>
    <xdr:pic macro="[0]!WorkingCapitalOptions">
      <xdr:nvPicPr>
        <xdr:cNvPr id="264" name="btnReceive05" descr="timebtn2b" hidden="1">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8830925"/>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544</xdr:row>
      <xdr:rowOff>28575</xdr:rowOff>
    </xdr:from>
    <xdr:to>
      <xdr:col>3</xdr:col>
      <xdr:colOff>628650</xdr:colOff>
      <xdr:row>544</xdr:row>
      <xdr:rowOff>133350</xdr:rowOff>
    </xdr:to>
    <xdr:pic macro="[0]!WorkingCapitalSpec">
      <xdr:nvPicPr>
        <xdr:cNvPr id="265" name="btnReceiveSpec">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16278225"/>
          <a:ext cx="114300" cy="104775"/>
        </a:xfrm>
        <a:prstGeom prst="rect">
          <a:avLst/>
        </a:prstGeom>
        <a:noFill/>
        <a:ln w="9525">
          <a:noFill/>
          <a:miter lim="800000"/>
          <a:headEnd/>
          <a:tailEnd/>
        </a:ln>
      </xdr:spPr>
    </xdr:pic>
    <xdr:clientData fPrintsWithSheet="0"/>
  </xdr:twoCellAnchor>
  <xdr:twoCellAnchor editAs="oneCell">
    <xdr:from>
      <xdr:col>1</xdr:col>
      <xdr:colOff>9525</xdr:colOff>
      <xdr:row>598</xdr:row>
      <xdr:rowOff>9525</xdr:rowOff>
    </xdr:from>
    <xdr:to>
      <xdr:col>2</xdr:col>
      <xdr:colOff>0</xdr:colOff>
      <xdr:row>599</xdr:row>
      <xdr:rowOff>9525</xdr:rowOff>
    </xdr:to>
    <xdr:pic macro="[0]!WorkingCapitalOptions">
      <xdr:nvPicPr>
        <xdr:cNvPr id="266" name="btnPayable01" descr="timebtn2b">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3402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602</xdr:row>
      <xdr:rowOff>9525</xdr:rowOff>
    </xdr:from>
    <xdr:to>
      <xdr:col>2</xdr:col>
      <xdr:colOff>0</xdr:colOff>
      <xdr:row>625</xdr:row>
      <xdr:rowOff>0</xdr:rowOff>
    </xdr:to>
    <xdr:pic macro="[0]!WorkingCapitalOptions">
      <xdr:nvPicPr>
        <xdr:cNvPr id="267" name="btnPayable02" descr="timebtn2b" hidden="1">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3974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606</xdr:row>
      <xdr:rowOff>9525</xdr:rowOff>
    </xdr:from>
    <xdr:to>
      <xdr:col>2</xdr:col>
      <xdr:colOff>0</xdr:colOff>
      <xdr:row>625</xdr:row>
      <xdr:rowOff>0</xdr:rowOff>
    </xdr:to>
    <xdr:pic macro="[0]!WorkingCapitalOptions">
      <xdr:nvPicPr>
        <xdr:cNvPr id="268" name="btnPayable03" descr="timebtn2b" hidden="1">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4545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610</xdr:row>
      <xdr:rowOff>9525</xdr:rowOff>
    </xdr:from>
    <xdr:to>
      <xdr:col>2</xdr:col>
      <xdr:colOff>0</xdr:colOff>
      <xdr:row>625</xdr:row>
      <xdr:rowOff>0</xdr:rowOff>
    </xdr:to>
    <xdr:pic macro="[0]!WorkingCapitalOptions">
      <xdr:nvPicPr>
        <xdr:cNvPr id="269" name="btnPayable04" descr="timebtn2b" hidden="1">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5117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614</xdr:row>
      <xdr:rowOff>9525</xdr:rowOff>
    </xdr:from>
    <xdr:to>
      <xdr:col>2</xdr:col>
      <xdr:colOff>0</xdr:colOff>
      <xdr:row>625</xdr:row>
      <xdr:rowOff>0</xdr:rowOff>
    </xdr:to>
    <xdr:pic macro="[0]!WorkingCapitalOptions">
      <xdr:nvPicPr>
        <xdr:cNvPr id="270" name="btnPayable05" descr="timebtn2b" hidden="1">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5688925"/>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596</xdr:row>
      <xdr:rowOff>28575</xdr:rowOff>
    </xdr:from>
    <xdr:to>
      <xdr:col>3</xdr:col>
      <xdr:colOff>628650</xdr:colOff>
      <xdr:row>596</xdr:row>
      <xdr:rowOff>133350</xdr:rowOff>
    </xdr:to>
    <xdr:pic macro="[0]!WorkingCapitalSpec">
      <xdr:nvPicPr>
        <xdr:cNvPr id="271" name="btnPayableSpec">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23136225"/>
          <a:ext cx="114300" cy="104775"/>
        </a:xfrm>
        <a:prstGeom prst="rect">
          <a:avLst/>
        </a:prstGeom>
        <a:noFill/>
        <a:ln w="9525">
          <a:noFill/>
          <a:miter lim="800000"/>
          <a:headEnd/>
          <a:tailEnd/>
        </a:ln>
      </xdr:spPr>
    </xdr:pic>
    <xdr:clientData fPrintsWithSheet="0"/>
  </xdr:twoCellAnchor>
  <xdr:twoCellAnchor editAs="oneCell">
    <xdr:from>
      <xdr:col>1</xdr:col>
      <xdr:colOff>11906</xdr:colOff>
      <xdr:row>7</xdr:row>
      <xdr:rowOff>19050</xdr:rowOff>
    </xdr:from>
    <xdr:to>
      <xdr:col>2</xdr:col>
      <xdr:colOff>208942</xdr:colOff>
      <xdr:row>8</xdr:row>
      <xdr:rowOff>143054</xdr:rowOff>
    </xdr:to>
    <xdr:pic macro="[0]!AutoVBA.PrintCurrent">
      <xdr:nvPicPr>
        <xdr:cNvPr id="273" name="PrintBtn05" descr="printbtn37.bmp">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20" cstate="print"/>
        <a:stretch>
          <a:fillRect/>
        </a:stretch>
      </xdr:blipFill>
      <xdr:spPr>
        <a:xfrm>
          <a:off x="50006" y="19050"/>
          <a:ext cx="358961" cy="266879"/>
        </a:xfrm>
        <a:prstGeom prst="rect">
          <a:avLst/>
        </a:prstGeom>
      </xdr:spPr>
    </xdr:pic>
    <xdr:clientData fPrintsWithSheet="0"/>
  </xdr:twoCellAnchor>
  <xdr:twoCellAnchor editAs="oneCell">
    <xdr:from>
      <xdr:col>2</xdr:col>
      <xdr:colOff>230981</xdr:colOff>
      <xdr:row>7</xdr:row>
      <xdr:rowOff>19050</xdr:rowOff>
    </xdr:from>
    <xdr:to>
      <xdr:col>2</xdr:col>
      <xdr:colOff>589942</xdr:colOff>
      <xdr:row>8</xdr:row>
      <xdr:rowOff>140673</xdr:rowOff>
    </xdr:to>
    <xdr:pic macro="[0]!AutoVBA.GotoContactInfo">
      <xdr:nvPicPr>
        <xdr:cNvPr id="274" name="PrevBtn05" descr="prevbtn37c.bmp">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1" cstate="print"/>
        <a:stretch>
          <a:fillRect/>
        </a:stretch>
      </xdr:blipFill>
      <xdr:spPr>
        <a:xfrm>
          <a:off x="431006" y="19050"/>
          <a:ext cx="358961" cy="264498"/>
        </a:xfrm>
        <a:prstGeom prst="rect">
          <a:avLst/>
        </a:prstGeom>
      </xdr:spPr>
    </xdr:pic>
    <xdr:clientData fPrintsWithSheet="0"/>
  </xdr:twoCellAnchor>
  <xdr:twoCellAnchor editAs="oneCell">
    <xdr:from>
      <xdr:col>2</xdr:col>
      <xdr:colOff>611981</xdr:colOff>
      <xdr:row>7</xdr:row>
      <xdr:rowOff>19050</xdr:rowOff>
    </xdr:from>
    <xdr:to>
      <xdr:col>2</xdr:col>
      <xdr:colOff>970942</xdr:colOff>
      <xdr:row>8</xdr:row>
      <xdr:rowOff>140673</xdr:rowOff>
    </xdr:to>
    <xdr:pic macro="[0]!AutoVBA.GotoIncomeTable">
      <xdr:nvPicPr>
        <xdr:cNvPr id="275" name="NextBtn05" descr="nextbtn37c.bmp">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22" cstate="print"/>
        <a:stretch>
          <a:fillRect/>
        </a:stretch>
      </xdr:blipFill>
      <xdr:spPr>
        <a:xfrm>
          <a:off x="812006" y="19050"/>
          <a:ext cx="358961" cy="264498"/>
        </a:xfrm>
        <a:prstGeom prst="rect">
          <a:avLst/>
        </a:prstGeom>
      </xdr:spPr>
    </xdr:pic>
    <xdr:clientData fPrintsWithSheet="0"/>
  </xdr:twoCellAnchor>
  <xdr:twoCellAnchor editAs="oneCell">
    <xdr:from>
      <xdr:col>2</xdr:col>
      <xdr:colOff>992981</xdr:colOff>
      <xdr:row>7</xdr:row>
      <xdr:rowOff>19050</xdr:rowOff>
    </xdr:from>
    <xdr:to>
      <xdr:col>2</xdr:col>
      <xdr:colOff>1351942</xdr:colOff>
      <xdr:row>8</xdr:row>
      <xdr:rowOff>140673</xdr:rowOff>
    </xdr:to>
    <xdr:pic macro="[0]!GoHome">
      <xdr:nvPicPr>
        <xdr:cNvPr id="276" name="HomeBtn05" descr="homebtn37b.bmp">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23" cstate="print"/>
        <a:stretch>
          <a:fillRect/>
        </a:stretch>
      </xdr:blipFill>
      <xdr:spPr>
        <a:xfrm>
          <a:off x="1193006" y="19050"/>
          <a:ext cx="358961" cy="264498"/>
        </a:xfrm>
        <a:prstGeom prst="rect">
          <a:avLst/>
        </a:prstGeom>
      </xdr:spPr>
    </xdr:pic>
    <xdr:clientData fPrintsWithSheet="0"/>
  </xdr:twoCellAnchor>
  <xdr:twoCellAnchor editAs="oneCell">
    <xdr:from>
      <xdr:col>2</xdr:col>
      <xdr:colOff>1373982</xdr:colOff>
      <xdr:row>7</xdr:row>
      <xdr:rowOff>19050</xdr:rowOff>
    </xdr:from>
    <xdr:to>
      <xdr:col>2</xdr:col>
      <xdr:colOff>1734456</xdr:colOff>
      <xdr:row>8</xdr:row>
      <xdr:rowOff>140466</xdr:rowOff>
    </xdr:to>
    <xdr:pic macro="[0]!CreateCalcChart">
      <xdr:nvPicPr>
        <xdr:cNvPr id="277" name="ChartBtn05" descr="chartbtn37.bmp">
          <a:extLst>
            <a:ext uri="{FF2B5EF4-FFF2-40B4-BE49-F238E27FC236}">
              <a16:creationId xmlns:a16="http://schemas.microsoft.com/office/drawing/2014/main" id="{00000000-0008-0000-0100-000015010000}"/>
            </a:ext>
          </a:extLst>
        </xdr:cNvPr>
        <xdr:cNvPicPr>
          <a:picLocks noChangeAspect="1"/>
        </xdr:cNvPicPr>
      </xdr:nvPicPr>
      <xdr:blipFill>
        <a:blip xmlns:r="http://schemas.openxmlformats.org/officeDocument/2006/relationships" r:embed="rId24" cstate="print"/>
        <a:stretch>
          <a:fillRect/>
        </a:stretch>
      </xdr:blipFill>
      <xdr:spPr>
        <a:xfrm>
          <a:off x="1574007" y="19050"/>
          <a:ext cx="360474" cy="264291"/>
        </a:xfrm>
        <a:prstGeom prst="rect">
          <a:avLst/>
        </a:prstGeom>
      </xdr:spPr>
    </xdr:pic>
    <xdr:clientData fPrintsWithSheet="0"/>
  </xdr:twoCellAnchor>
  <xdr:twoCellAnchor editAs="oneCell">
    <xdr:from>
      <xdr:col>2</xdr:col>
      <xdr:colOff>1754982</xdr:colOff>
      <xdr:row>7</xdr:row>
      <xdr:rowOff>19050</xdr:rowOff>
    </xdr:from>
    <xdr:to>
      <xdr:col>2</xdr:col>
      <xdr:colOff>2113943</xdr:colOff>
      <xdr:row>8</xdr:row>
      <xdr:rowOff>140673</xdr:rowOff>
    </xdr:to>
    <xdr:pic macro="[0]!ShowGuide">
      <xdr:nvPicPr>
        <xdr:cNvPr id="278" name="HelpBtn05" descr="helpbtn37c.bmp">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25" cstate="print"/>
        <a:stretch>
          <a:fillRect/>
        </a:stretch>
      </xdr:blipFill>
      <xdr:spPr>
        <a:xfrm>
          <a:off x="1955007" y="19050"/>
          <a:ext cx="358961" cy="264498"/>
        </a:xfrm>
        <a:prstGeom prst="rect">
          <a:avLst/>
        </a:prstGeom>
      </xdr:spPr>
    </xdr:pic>
    <xdr:clientData fPrintsWithSheet="0"/>
  </xdr:twoCellAnchor>
  <xdr:twoCellAnchor editAs="oneCell">
    <xdr:from>
      <xdr:col>3</xdr:col>
      <xdr:colOff>19052</xdr:colOff>
      <xdr:row>7</xdr:row>
      <xdr:rowOff>19050</xdr:rowOff>
    </xdr:from>
    <xdr:to>
      <xdr:col>3</xdr:col>
      <xdr:colOff>209552</xdr:colOff>
      <xdr:row>8</xdr:row>
      <xdr:rowOff>85708</xdr:rowOff>
    </xdr:to>
    <xdr:pic macro="[0]!DetailLevelSelected">
      <xdr:nvPicPr>
        <xdr:cNvPr id="279" name="OutlinePic01" descr="levelbtn.bmp">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26" cstate="print"/>
        <a:stretch>
          <a:fillRect/>
        </a:stretch>
      </xdr:blipFill>
      <xdr:spPr>
        <a:xfrm>
          <a:off x="2736852" y="19050"/>
          <a:ext cx="190500" cy="206358"/>
        </a:xfrm>
        <a:prstGeom prst="rect">
          <a:avLst/>
        </a:prstGeom>
      </xdr:spPr>
    </xdr:pic>
    <xdr:clientData fPrintsWithSheet="0"/>
  </xdr:twoCellAnchor>
  <xdr:twoCellAnchor editAs="oneCell">
    <xdr:from>
      <xdr:col>3</xdr:col>
      <xdr:colOff>333375</xdr:colOff>
      <xdr:row>8</xdr:row>
      <xdr:rowOff>114300</xdr:rowOff>
    </xdr:from>
    <xdr:to>
      <xdr:col>3</xdr:col>
      <xdr:colOff>609600</xdr:colOff>
      <xdr:row>14</xdr:row>
      <xdr:rowOff>161925</xdr:rowOff>
    </xdr:to>
    <xdr:pic macro="[0]!FreezeCalcSheet">
      <xdr:nvPicPr>
        <xdr:cNvPr id="281" name="btnFreeze01" descr="FreezeBtnSmallb.bmp">
          <a:extLst>
            <a:ext uri="{FF2B5EF4-FFF2-40B4-BE49-F238E27FC236}">
              <a16:creationId xmlns:a16="http://schemas.microsoft.com/office/drawing/2014/main" id="{00000000-0008-0000-0100-000019010000}"/>
            </a:ext>
          </a:extLst>
        </xdr:cNvPr>
        <xdr:cNvPicPr>
          <a:picLocks noChangeAspect="1"/>
        </xdr:cNvPicPr>
      </xdr:nvPicPr>
      <xdr:blipFill>
        <a:blip xmlns:r="http://schemas.openxmlformats.org/officeDocument/2006/relationships" r:embed="rId27" cstate="print"/>
        <a:stretch>
          <a:fillRect/>
        </a:stretch>
      </xdr:blipFill>
      <xdr:spPr>
        <a:xfrm>
          <a:off x="2714625" y="257175"/>
          <a:ext cx="276225" cy="200025"/>
        </a:xfrm>
        <a:prstGeom prst="rect">
          <a:avLst/>
        </a:prstGeom>
      </xdr:spPr>
    </xdr:pic>
    <xdr:clientData fPrintsWithSheet="0"/>
  </xdr:twoCellAnchor>
  <xdr:twoCellAnchor editAs="oneCell">
    <xdr:from>
      <xdr:col>1</xdr:col>
      <xdr:colOff>11908</xdr:colOff>
      <xdr:row>436</xdr:row>
      <xdr:rowOff>19050</xdr:rowOff>
    </xdr:from>
    <xdr:to>
      <xdr:col>2</xdr:col>
      <xdr:colOff>208944</xdr:colOff>
      <xdr:row>437</xdr:row>
      <xdr:rowOff>131148</xdr:rowOff>
    </xdr:to>
    <xdr:pic macro="[0]!AutoVBA.PrintCurrent">
      <xdr:nvPicPr>
        <xdr:cNvPr id="282" name="PrintBtn07" descr="printbtn37.bmp">
          <a:extLst>
            <a:ext uri="{FF2B5EF4-FFF2-40B4-BE49-F238E27FC236}">
              <a16:creationId xmlns:a16="http://schemas.microsoft.com/office/drawing/2014/main" id="{00000000-0008-0000-0100-00001A010000}"/>
            </a:ext>
          </a:extLst>
        </xdr:cNvPr>
        <xdr:cNvPicPr>
          <a:picLocks noChangeAspect="1"/>
        </xdr:cNvPicPr>
      </xdr:nvPicPr>
      <xdr:blipFill>
        <a:blip xmlns:r="http://schemas.openxmlformats.org/officeDocument/2006/relationships" r:embed="rId20" cstate="print"/>
        <a:stretch>
          <a:fillRect/>
        </a:stretch>
      </xdr:blipFill>
      <xdr:spPr>
        <a:xfrm>
          <a:off x="50008" y="5848350"/>
          <a:ext cx="358961" cy="264498"/>
        </a:xfrm>
        <a:prstGeom prst="rect">
          <a:avLst/>
        </a:prstGeom>
      </xdr:spPr>
    </xdr:pic>
    <xdr:clientData fPrintsWithSheet="0"/>
  </xdr:twoCellAnchor>
  <xdr:twoCellAnchor editAs="oneCell">
    <xdr:from>
      <xdr:col>2</xdr:col>
      <xdr:colOff>230981</xdr:colOff>
      <xdr:row>436</xdr:row>
      <xdr:rowOff>19050</xdr:rowOff>
    </xdr:from>
    <xdr:to>
      <xdr:col>2</xdr:col>
      <xdr:colOff>589942</xdr:colOff>
      <xdr:row>437</xdr:row>
      <xdr:rowOff>131148</xdr:rowOff>
    </xdr:to>
    <xdr:pic macro="[0]!AutoVBA.GotoInvestTable">
      <xdr:nvPicPr>
        <xdr:cNvPr id="283" name="PrevBtn07" descr="prevbtn37c.bmp">
          <a:extLst>
            <a:ext uri="{FF2B5EF4-FFF2-40B4-BE49-F238E27FC236}">
              <a16:creationId xmlns:a16="http://schemas.microsoft.com/office/drawing/2014/main" id="{00000000-0008-0000-0100-00001B010000}"/>
            </a:ext>
          </a:extLst>
        </xdr:cNvPr>
        <xdr:cNvPicPr>
          <a:picLocks noChangeAspect="1"/>
        </xdr:cNvPicPr>
      </xdr:nvPicPr>
      <xdr:blipFill>
        <a:blip xmlns:r="http://schemas.openxmlformats.org/officeDocument/2006/relationships" r:embed="rId21" cstate="print"/>
        <a:stretch>
          <a:fillRect/>
        </a:stretch>
      </xdr:blipFill>
      <xdr:spPr>
        <a:xfrm>
          <a:off x="431006" y="5848350"/>
          <a:ext cx="358961" cy="264498"/>
        </a:xfrm>
        <a:prstGeom prst="rect">
          <a:avLst/>
        </a:prstGeom>
      </xdr:spPr>
    </xdr:pic>
    <xdr:clientData fPrintsWithSheet="0"/>
  </xdr:twoCellAnchor>
  <xdr:twoCellAnchor editAs="oneCell">
    <xdr:from>
      <xdr:col>2</xdr:col>
      <xdr:colOff>611982</xdr:colOff>
      <xdr:row>436</xdr:row>
      <xdr:rowOff>19050</xdr:rowOff>
    </xdr:from>
    <xdr:to>
      <xdr:col>2</xdr:col>
      <xdr:colOff>970943</xdr:colOff>
      <xdr:row>437</xdr:row>
      <xdr:rowOff>131148</xdr:rowOff>
    </xdr:to>
    <xdr:pic macro="[0]!AutoVBA.GotoWorkingCapitalTable">
      <xdr:nvPicPr>
        <xdr:cNvPr id="284" name="NextBtn07" descr="nextbtn37c.bmp">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22" cstate="print"/>
        <a:stretch>
          <a:fillRect/>
        </a:stretch>
      </xdr:blipFill>
      <xdr:spPr>
        <a:xfrm>
          <a:off x="812007" y="5848350"/>
          <a:ext cx="358961" cy="264498"/>
        </a:xfrm>
        <a:prstGeom prst="rect">
          <a:avLst/>
        </a:prstGeom>
      </xdr:spPr>
    </xdr:pic>
    <xdr:clientData fPrintsWithSheet="0"/>
  </xdr:twoCellAnchor>
  <xdr:twoCellAnchor editAs="oneCell">
    <xdr:from>
      <xdr:col>2</xdr:col>
      <xdr:colOff>992981</xdr:colOff>
      <xdr:row>436</xdr:row>
      <xdr:rowOff>19050</xdr:rowOff>
    </xdr:from>
    <xdr:to>
      <xdr:col>2</xdr:col>
      <xdr:colOff>1351942</xdr:colOff>
      <xdr:row>437</xdr:row>
      <xdr:rowOff>131148</xdr:rowOff>
    </xdr:to>
    <xdr:pic macro="[0]!GoHome">
      <xdr:nvPicPr>
        <xdr:cNvPr id="285" name="HomeBtn07" descr="homebtn37b.bmp">
          <a:extLst>
            <a:ext uri="{FF2B5EF4-FFF2-40B4-BE49-F238E27FC236}">
              <a16:creationId xmlns:a16="http://schemas.microsoft.com/office/drawing/2014/main" id="{00000000-0008-0000-0100-00001D010000}"/>
            </a:ext>
          </a:extLst>
        </xdr:cNvPr>
        <xdr:cNvPicPr>
          <a:picLocks noChangeAspect="1"/>
        </xdr:cNvPicPr>
      </xdr:nvPicPr>
      <xdr:blipFill>
        <a:blip xmlns:r="http://schemas.openxmlformats.org/officeDocument/2006/relationships" r:embed="rId23" cstate="print"/>
        <a:stretch>
          <a:fillRect/>
        </a:stretch>
      </xdr:blipFill>
      <xdr:spPr>
        <a:xfrm>
          <a:off x="1193006" y="5848350"/>
          <a:ext cx="358961" cy="264498"/>
        </a:xfrm>
        <a:prstGeom prst="rect">
          <a:avLst/>
        </a:prstGeom>
      </xdr:spPr>
    </xdr:pic>
    <xdr:clientData fPrintsWithSheet="0"/>
  </xdr:twoCellAnchor>
  <xdr:twoCellAnchor editAs="oneCell">
    <xdr:from>
      <xdr:col>2</xdr:col>
      <xdr:colOff>1373982</xdr:colOff>
      <xdr:row>436</xdr:row>
      <xdr:rowOff>19050</xdr:rowOff>
    </xdr:from>
    <xdr:to>
      <xdr:col>2</xdr:col>
      <xdr:colOff>1734456</xdr:colOff>
      <xdr:row>437</xdr:row>
      <xdr:rowOff>132263</xdr:rowOff>
    </xdr:to>
    <xdr:pic macro="[0]!CreateCalcChart">
      <xdr:nvPicPr>
        <xdr:cNvPr id="286" name="ChartBtn07" descr="chartbtn37.bmp">
          <a:extLst>
            <a:ext uri="{FF2B5EF4-FFF2-40B4-BE49-F238E27FC236}">
              <a16:creationId xmlns:a16="http://schemas.microsoft.com/office/drawing/2014/main" id="{00000000-0008-0000-0100-00001E010000}"/>
            </a:ext>
          </a:extLst>
        </xdr:cNvPr>
        <xdr:cNvPicPr>
          <a:picLocks noChangeAspect="1"/>
        </xdr:cNvPicPr>
      </xdr:nvPicPr>
      <xdr:blipFill>
        <a:blip xmlns:r="http://schemas.openxmlformats.org/officeDocument/2006/relationships" r:embed="rId24" cstate="print"/>
        <a:stretch>
          <a:fillRect/>
        </a:stretch>
      </xdr:blipFill>
      <xdr:spPr>
        <a:xfrm>
          <a:off x="1574007" y="5848350"/>
          <a:ext cx="360474" cy="265613"/>
        </a:xfrm>
        <a:prstGeom prst="rect">
          <a:avLst/>
        </a:prstGeom>
      </xdr:spPr>
    </xdr:pic>
    <xdr:clientData fPrintsWithSheet="0"/>
  </xdr:twoCellAnchor>
  <xdr:twoCellAnchor editAs="oneCell">
    <xdr:from>
      <xdr:col>2</xdr:col>
      <xdr:colOff>1754983</xdr:colOff>
      <xdr:row>436</xdr:row>
      <xdr:rowOff>19050</xdr:rowOff>
    </xdr:from>
    <xdr:to>
      <xdr:col>2</xdr:col>
      <xdr:colOff>2113944</xdr:colOff>
      <xdr:row>437</xdr:row>
      <xdr:rowOff>131148</xdr:rowOff>
    </xdr:to>
    <xdr:pic macro="[0]!ShowGuide">
      <xdr:nvPicPr>
        <xdr:cNvPr id="287" name="HelpBtn07" descr="helpbtn37c.bmp">
          <a:extLst>
            <a:ext uri="{FF2B5EF4-FFF2-40B4-BE49-F238E27FC236}">
              <a16:creationId xmlns:a16="http://schemas.microsoft.com/office/drawing/2014/main" id="{00000000-0008-0000-0100-00001F010000}"/>
            </a:ext>
          </a:extLst>
        </xdr:cNvPr>
        <xdr:cNvPicPr>
          <a:picLocks noChangeAspect="1"/>
        </xdr:cNvPicPr>
      </xdr:nvPicPr>
      <xdr:blipFill>
        <a:blip xmlns:r="http://schemas.openxmlformats.org/officeDocument/2006/relationships" r:embed="rId25" cstate="print"/>
        <a:stretch>
          <a:fillRect/>
        </a:stretch>
      </xdr:blipFill>
      <xdr:spPr>
        <a:xfrm>
          <a:off x="1955008" y="5848350"/>
          <a:ext cx="358961" cy="264498"/>
        </a:xfrm>
        <a:prstGeom prst="rect">
          <a:avLst/>
        </a:prstGeom>
      </xdr:spPr>
    </xdr:pic>
    <xdr:clientData fPrintsWithSheet="0"/>
  </xdr:twoCellAnchor>
  <xdr:twoCellAnchor editAs="oneCell">
    <xdr:from>
      <xdr:col>3</xdr:col>
      <xdr:colOff>19049</xdr:colOff>
      <xdr:row>436</xdr:row>
      <xdr:rowOff>19050</xdr:rowOff>
    </xdr:from>
    <xdr:to>
      <xdr:col>3</xdr:col>
      <xdr:colOff>209549</xdr:colOff>
      <xdr:row>437</xdr:row>
      <xdr:rowOff>76200</xdr:rowOff>
    </xdr:to>
    <xdr:pic macro="[0]!DetailLevelSelected">
      <xdr:nvPicPr>
        <xdr:cNvPr id="288" name="OutlinePic02" descr="levelbtn.bmp">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26" cstate="print"/>
        <a:stretch>
          <a:fillRect/>
        </a:stretch>
      </xdr:blipFill>
      <xdr:spPr>
        <a:xfrm>
          <a:off x="2736849" y="3213100"/>
          <a:ext cx="190500" cy="209550"/>
        </a:xfrm>
        <a:prstGeom prst="rect">
          <a:avLst/>
        </a:prstGeom>
      </xdr:spPr>
    </xdr:pic>
    <xdr:clientData fPrintsWithSheet="0"/>
  </xdr:twoCellAnchor>
  <xdr:twoCellAnchor editAs="oneCell">
    <xdr:from>
      <xdr:col>3</xdr:col>
      <xdr:colOff>328611</xdr:colOff>
      <xdr:row>437</xdr:row>
      <xdr:rowOff>114300</xdr:rowOff>
    </xdr:from>
    <xdr:to>
      <xdr:col>3</xdr:col>
      <xdr:colOff>604836</xdr:colOff>
      <xdr:row>438</xdr:row>
      <xdr:rowOff>161925</xdr:rowOff>
    </xdr:to>
    <xdr:pic macro="[0]!FreezeCalcSheet">
      <xdr:nvPicPr>
        <xdr:cNvPr id="289" name="btnFreeze02" descr="FreezeBtnSmallb.bmp">
          <a:extLst>
            <a:ext uri="{FF2B5EF4-FFF2-40B4-BE49-F238E27FC236}">
              <a16:creationId xmlns:a16="http://schemas.microsoft.com/office/drawing/2014/main" id="{00000000-0008-0000-0100-000021010000}"/>
            </a:ext>
          </a:extLst>
        </xdr:cNvPr>
        <xdr:cNvPicPr>
          <a:picLocks noChangeAspect="1"/>
        </xdr:cNvPicPr>
      </xdr:nvPicPr>
      <xdr:blipFill>
        <a:blip xmlns:r="http://schemas.openxmlformats.org/officeDocument/2006/relationships" r:embed="rId27" cstate="print"/>
        <a:stretch>
          <a:fillRect/>
        </a:stretch>
      </xdr:blipFill>
      <xdr:spPr>
        <a:xfrm>
          <a:off x="2709861" y="6096000"/>
          <a:ext cx="276225" cy="200025"/>
        </a:xfrm>
        <a:prstGeom prst="rect">
          <a:avLst/>
        </a:prstGeom>
      </xdr:spPr>
    </xdr:pic>
    <xdr:clientData fPrintsWithSheet="0"/>
  </xdr:twoCellAnchor>
  <xdr:twoCellAnchor editAs="oneCell">
    <xdr:from>
      <xdr:col>1</xdr:col>
      <xdr:colOff>11906</xdr:colOff>
      <xdr:row>539</xdr:row>
      <xdr:rowOff>19051</xdr:rowOff>
    </xdr:from>
    <xdr:to>
      <xdr:col>2</xdr:col>
      <xdr:colOff>208942</xdr:colOff>
      <xdr:row>540</xdr:row>
      <xdr:rowOff>131149</xdr:rowOff>
    </xdr:to>
    <xdr:pic macro="[0]!AutoVBA.PrintCurrent">
      <xdr:nvPicPr>
        <xdr:cNvPr id="290" name="PrintBtn08" descr="printbtn37.bmp">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20" cstate="print"/>
        <a:stretch>
          <a:fillRect/>
        </a:stretch>
      </xdr:blipFill>
      <xdr:spPr>
        <a:xfrm>
          <a:off x="50006" y="16906876"/>
          <a:ext cx="358961" cy="264498"/>
        </a:xfrm>
        <a:prstGeom prst="rect">
          <a:avLst/>
        </a:prstGeom>
      </xdr:spPr>
    </xdr:pic>
    <xdr:clientData fPrintsWithSheet="0"/>
  </xdr:twoCellAnchor>
  <xdr:twoCellAnchor editAs="oneCell">
    <xdr:from>
      <xdr:col>2</xdr:col>
      <xdr:colOff>230981</xdr:colOff>
      <xdr:row>539</xdr:row>
      <xdr:rowOff>19051</xdr:rowOff>
    </xdr:from>
    <xdr:to>
      <xdr:col>2</xdr:col>
      <xdr:colOff>589942</xdr:colOff>
      <xdr:row>540</xdr:row>
      <xdr:rowOff>131149</xdr:rowOff>
    </xdr:to>
    <xdr:pic macro="[0]!AutoVBA.GotoIncomeTable">
      <xdr:nvPicPr>
        <xdr:cNvPr id="291" name="PrevBtn08" descr="prevbtn37c.bmp">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21" cstate="print"/>
        <a:stretch>
          <a:fillRect/>
        </a:stretch>
      </xdr:blipFill>
      <xdr:spPr>
        <a:xfrm>
          <a:off x="431006" y="16906876"/>
          <a:ext cx="358961" cy="264498"/>
        </a:xfrm>
        <a:prstGeom prst="rect">
          <a:avLst/>
        </a:prstGeom>
      </xdr:spPr>
    </xdr:pic>
    <xdr:clientData fPrintsWithSheet="0"/>
  </xdr:twoCellAnchor>
  <xdr:twoCellAnchor editAs="oneCell">
    <xdr:from>
      <xdr:col>2</xdr:col>
      <xdr:colOff>611982</xdr:colOff>
      <xdr:row>539</xdr:row>
      <xdr:rowOff>19051</xdr:rowOff>
    </xdr:from>
    <xdr:to>
      <xdr:col>2</xdr:col>
      <xdr:colOff>970943</xdr:colOff>
      <xdr:row>540</xdr:row>
      <xdr:rowOff>131149</xdr:rowOff>
    </xdr:to>
    <xdr:pic macro="[0]!AutoVBA.GotoCashflowTable">
      <xdr:nvPicPr>
        <xdr:cNvPr id="292" name="NextBtn08" descr="nextbtn37c.bmp">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22" cstate="print"/>
        <a:stretch>
          <a:fillRect/>
        </a:stretch>
      </xdr:blipFill>
      <xdr:spPr>
        <a:xfrm>
          <a:off x="812007" y="16906876"/>
          <a:ext cx="358961" cy="264498"/>
        </a:xfrm>
        <a:prstGeom prst="rect">
          <a:avLst/>
        </a:prstGeom>
      </xdr:spPr>
    </xdr:pic>
    <xdr:clientData fPrintsWithSheet="0"/>
  </xdr:twoCellAnchor>
  <xdr:twoCellAnchor editAs="oneCell">
    <xdr:from>
      <xdr:col>2</xdr:col>
      <xdr:colOff>992981</xdr:colOff>
      <xdr:row>539</xdr:row>
      <xdr:rowOff>19051</xdr:rowOff>
    </xdr:from>
    <xdr:to>
      <xdr:col>2</xdr:col>
      <xdr:colOff>1351942</xdr:colOff>
      <xdr:row>540</xdr:row>
      <xdr:rowOff>131149</xdr:rowOff>
    </xdr:to>
    <xdr:pic macro="[0]!GoHome">
      <xdr:nvPicPr>
        <xdr:cNvPr id="293" name="HomeBtn08" descr="homebtn37b.bmp">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23" cstate="print"/>
        <a:stretch>
          <a:fillRect/>
        </a:stretch>
      </xdr:blipFill>
      <xdr:spPr>
        <a:xfrm>
          <a:off x="1193006" y="16906876"/>
          <a:ext cx="358961" cy="264498"/>
        </a:xfrm>
        <a:prstGeom prst="rect">
          <a:avLst/>
        </a:prstGeom>
      </xdr:spPr>
    </xdr:pic>
    <xdr:clientData fPrintsWithSheet="0"/>
  </xdr:twoCellAnchor>
  <xdr:twoCellAnchor editAs="oneCell">
    <xdr:from>
      <xdr:col>2</xdr:col>
      <xdr:colOff>1373981</xdr:colOff>
      <xdr:row>539</xdr:row>
      <xdr:rowOff>19051</xdr:rowOff>
    </xdr:from>
    <xdr:to>
      <xdr:col>2</xdr:col>
      <xdr:colOff>1734455</xdr:colOff>
      <xdr:row>540</xdr:row>
      <xdr:rowOff>132264</xdr:rowOff>
    </xdr:to>
    <xdr:pic macro="[0]!CreateCalcChart">
      <xdr:nvPicPr>
        <xdr:cNvPr id="294" name="ChartBtn08" descr="chartbtn37.bmp">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24" cstate="print"/>
        <a:stretch>
          <a:fillRect/>
        </a:stretch>
      </xdr:blipFill>
      <xdr:spPr>
        <a:xfrm>
          <a:off x="1574006" y="16906876"/>
          <a:ext cx="360474" cy="265613"/>
        </a:xfrm>
        <a:prstGeom prst="rect">
          <a:avLst/>
        </a:prstGeom>
      </xdr:spPr>
    </xdr:pic>
    <xdr:clientData fPrintsWithSheet="0"/>
  </xdr:twoCellAnchor>
  <xdr:twoCellAnchor editAs="oneCell">
    <xdr:from>
      <xdr:col>2</xdr:col>
      <xdr:colOff>1754983</xdr:colOff>
      <xdr:row>539</xdr:row>
      <xdr:rowOff>19051</xdr:rowOff>
    </xdr:from>
    <xdr:to>
      <xdr:col>2</xdr:col>
      <xdr:colOff>2113944</xdr:colOff>
      <xdr:row>540</xdr:row>
      <xdr:rowOff>131149</xdr:rowOff>
    </xdr:to>
    <xdr:pic macro="[0]!ShowGuide">
      <xdr:nvPicPr>
        <xdr:cNvPr id="295" name="HelpBtn08" descr="helpbtn37c.bmp">
          <a:extLst>
            <a:ext uri="{FF2B5EF4-FFF2-40B4-BE49-F238E27FC236}">
              <a16:creationId xmlns:a16="http://schemas.microsoft.com/office/drawing/2014/main" id="{00000000-0008-0000-0100-000027010000}"/>
            </a:ext>
          </a:extLst>
        </xdr:cNvPr>
        <xdr:cNvPicPr>
          <a:picLocks noChangeAspect="1"/>
        </xdr:cNvPicPr>
      </xdr:nvPicPr>
      <xdr:blipFill>
        <a:blip xmlns:r="http://schemas.openxmlformats.org/officeDocument/2006/relationships" r:embed="rId25" cstate="print"/>
        <a:stretch>
          <a:fillRect/>
        </a:stretch>
      </xdr:blipFill>
      <xdr:spPr>
        <a:xfrm>
          <a:off x="1955008" y="16906876"/>
          <a:ext cx="358961" cy="264498"/>
        </a:xfrm>
        <a:prstGeom prst="rect">
          <a:avLst/>
        </a:prstGeom>
      </xdr:spPr>
    </xdr:pic>
    <xdr:clientData fPrintsWithSheet="0"/>
  </xdr:twoCellAnchor>
  <xdr:twoCellAnchor editAs="oneCell">
    <xdr:from>
      <xdr:col>3</xdr:col>
      <xdr:colOff>19051</xdr:colOff>
      <xdr:row>539</xdr:row>
      <xdr:rowOff>19051</xdr:rowOff>
    </xdr:from>
    <xdr:to>
      <xdr:col>3</xdr:col>
      <xdr:colOff>209551</xdr:colOff>
      <xdr:row>540</xdr:row>
      <xdr:rowOff>76201</xdr:rowOff>
    </xdr:to>
    <xdr:pic macro="[0]!DetailLevelSelected">
      <xdr:nvPicPr>
        <xdr:cNvPr id="296" name="OutlinePic03" descr="levelbtn.bmp">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26" cstate="print"/>
        <a:stretch>
          <a:fillRect/>
        </a:stretch>
      </xdr:blipFill>
      <xdr:spPr>
        <a:xfrm>
          <a:off x="2736851" y="8997951"/>
          <a:ext cx="190500" cy="209550"/>
        </a:xfrm>
        <a:prstGeom prst="rect">
          <a:avLst/>
        </a:prstGeom>
      </xdr:spPr>
    </xdr:pic>
    <xdr:clientData fPrintsWithSheet="0"/>
  </xdr:twoCellAnchor>
  <xdr:twoCellAnchor editAs="oneCell">
    <xdr:from>
      <xdr:col>3</xdr:col>
      <xdr:colOff>328612</xdr:colOff>
      <xdr:row>540</xdr:row>
      <xdr:rowOff>104775</xdr:rowOff>
    </xdr:from>
    <xdr:to>
      <xdr:col>3</xdr:col>
      <xdr:colOff>604837</xdr:colOff>
      <xdr:row>541</xdr:row>
      <xdr:rowOff>152400</xdr:rowOff>
    </xdr:to>
    <xdr:pic macro="[0]!FreezeCalcSheet">
      <xdr:nvPicPr>
        <xdr:cNvPr id="297" name="btnFreeze03" descr="FreezeBtnSmallb.bmp">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27" cstate="print"/>
        <a:stretch>
          <a:fillRect/>
        </a:stretch>
      </xdr:blipFill>
      <xdr:spPr>
        <a:xfrm>
          <a:off x="2709862" y="17145000"/>
          <a:ext cx="276225" cy="200025"/>
        </a:xfrm>
        <a:prstGeom prst="rect">
          <a:avLst/>
        </a:prstGeom>
      </xdr:spPr>
    </xdr:pic>
    <xdr:clientData fPrintsWithSheet="0"/>
  </xdr:twoCellAnchor>
  <xdr:twoCellAnchor editAs="oneCell">
    <xdr:from>
      <xdr:col>1</xdr:col>
      <xdr:colOff>26194</xdr:colOff>
      <xdr:row>627</xdr:row>
      <xdr:rowOff>19050</xdr:rowOff>
    </xdr:from>
    <xdr:to>
      <xdr:col>2</xdr:col>
      <xdr:colOff>223230</xdr:colOff>
      <xdr:row>628</xdr:row>
      <xdr:rowOff>131148</xdr:rowOff>
    </xdr:to>
    <xdr:pic macro="[0]!AutoVBA.PrintCurrent">
      <xdr:nvPicPr>
        <xdr:cNvPr id="298" name="PrintBtn09" descr="printbtn37.bmp">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20" cstate="print"/>
        <a:stretch>
          <a:fillRect/>
        </a:stretch>
      </xdr:blipFill>
      <xdr:spPr>
        <a:xfrm>
          <a:off x="64294" y="21469350"/>
          <a:ext cx="358961" cy="264498"/>
        </a:xfrm>
        <a:prstGeom prst="rect">
          <a:avLst/>
        </a:prstGeom>
      </xdr:spPr>
    </xdr:pic>
    <xdr:clientData fPrintsWithSheet="0"/>
  </xdr:twoCellAnchor>
  <xdr:twoCellAnchor editAs="oneCell">
    <xdr:from>
      <xdr:col>2</xdr:col>
      <xdr:colOff>245270</xdr:colOff>
      <xdr:row>627</xdr:row>
      <xdr:rowOff>19050</xdr:rowOff>
    </xdr:from>
    <xdr:to>
      <xdr:col>2</xdr:col>
      <xdr:colOff>604231</xdr:colOff>
      <xdr:row>628</xdr:row>
      <xdr:rowOff>131148</xdr:rowOff>
    </xdr:to>
    <xdr:pic macro="[0]!AutoVBA.GotoWorkingCapitalTable">
      <xdr:nvPicPr>
        <xdr:cNvPr id="299" name="PrevBtn09" descr="prevbtn37c.bmp">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21" cstate="print"/>
        <a:stretch>
          <a:fillRect/>
        </a:stretch>
      </xdr:blipFill>
      <xdr:spPr>
        <a:xfrm>
          <a:off x="445295" y="21469350"/>
          <a:ext cx="358961" cy="264498"/>
        </a:xfrm>
        <a:prstGeom prst="rect">
          <a:avLst/>
        </a:prstGeom>
      </xdr:spPr>
    </xdr:pic>
    <xdr:clientData fPrintsWithSheet="0"/>
  </xdr:twoCellAnchor>
  <xdr:twoCellAnchor editAs="oneCell">
    <xdr:from>
      <xdr:col>2</xdr:col>
      <xdr:colOff>626268</xdr:colOff>
      <xdr:row>627</xdr:row>
      <xdr:rowOff>19050</xdr:rowOff>
    </xdr:from>
    <xdr:to>
      <xdr:col>2</xdr:col>
      <xdr:colOff>985229</xdr:colOff>
      <xdr:row>628</xdr:row>
      <xdr:rowOff>131148</xdr:rowOff>
    </xdr:to>
    <xdr:pic macro="[0]!GotoBalanceOrResultTable">
      <xdr:nvPicPr>
        <xdr:cNvPr id="300" name="NextBtn09" descr="nextbtn37c.bmp">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22" cstate="print"/>
        <a:stretch>
          <a:fillRect/>
        </a:stretch>
      </xdr:blipFill>
      <xdr:spPr>
        <a:xfrm>
          <a:off x="826293" y="21469350"/>
          <a:ext cx="358961" cy="264498"/>
        </a:xfrm>
        <a:prstGeom prst="rect">
          <a:avLst/>
        </a:prstGeom>
      </xdr:spPr>
    </xdr:pic>
    <xdr:clientData fPrintsWithSheet="0"/>
  </xdr:twoCellAnchor>
  <xdr:twoCellAnchor editAs="oneCell">
    <xdr:from>
      <xdr:col>2</xdr:col>
      <xdr:colOff>1007270</xdr:colOff>
      <xdr:row>627</xdr:row>
      <xdr:rowOff>19050</xdr:rowOff>
    </xdr:from>
    <xdr:to>
      <xdr:col>2</xdr:col>
      <xdr:colOff>1366231</xdr:colOff>
      <xdr:row>628</xdr:row>
      <xdr:rowOff>131148</xdr:rowOff>
    </xdr:to>
    <xdr:pic macro="[0]!GoHome">
      <xdr:nvPicPr>
        <xdr:cNvPr id="301" name="HomeBtn09" descr="homebtn37b.bmp">
          <a:extLst>
            <a:ext uri="{FF2B5EF4-FFF2-40B4-BE49-F238E27FC236}">
              <a16:creationId xmlns:a16="http://schemas.microsoft.com/office/drawing/2014/main" id="{00000000-0008-0000-0100-00002D010000}"/>
            </a:ext>
          </a:extLst>
        </xdr:cNvPr>
        <xdr:cNvPicPr>
          <a:picLocks noChangeAspect="1"/>
        </xdr:cNvPicPr>
      </xdr:nvPicPr>
      <xdr:blipFill>
        <a:blip xmlns:r="http://schemas.openxmlformats.org/officeDocument/2006/relationships" r:embed="rId23" cstate="print"/>
        <a:stretch>
          <a:fillRect/>
        </a:stretch>
      </xdr:blipFill>
      <xdr:spPr>
        <a:xfrm>
          <a:off x="1207295" y="21469350"/>
          <a:ext cx="358961" cy="264498"/>
        </a:xfrm>
        <a:prstGeom prst="rect">
          <a:avLst/>
        </a:prstGeom>
      </xdr:spPr>
    </xdr:pic>
    <xdr:clientData fPrintsWithSheet="0"/>
  </xdr:twoCellAnchor>
  <xdr:twoCellAnchor editAs="oneCell">
    <xdr:from>
      <xdr:col>2</xdr:col>
      <xdr:colOff>1388269</xdr:colOff>
      <xdr:row>627</xdr:row>
      <xdr:rowOff>19050</xdr:rowOff>
    </xdr:from>
    <xdr:to>
      <xdr:col>2</xdr:col>
      <xdr:colOff>1748743</xdr:colOff>
      <xdr:row>628</xdr:row>
      <xdr:rowOff>132263</xdr:rowOff>
    </xdr:to>
    <xdr:pic macro="[0]!CreateCalcChart">
      <xdr:nvPicPr>
        <xdr:cNvPr id="302" name="ChartBtn09" descr="chartbtn37.bmp">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24" cstate="print"/>
        <a:stretch>
          <a:fillRect/>
        </a:stretch>
      </xdr:blipFill>
      <xdr:spPr>
        <a:xfrm>
          <a:off x="1588294" y="21469350"/>
          <a:ext cx="360474" cy="265613"/>
        </a:xfrm>
        <a:prstGeom prst="rect">
          <a:avLst/>
        </a:prstGeom>
      </xdr:spPr>
    </xdr:pic>
    <xdr:clientData fPrintsWithSheet="0"/>
  </xdr:twoCellAnchor>
  <xdr:twoCellAnchor editAs="oneCell">
    <xdr:from>
      <xdr:col>2</xdr:col>
      <xdr:colOff>1769269</xdr:colOff>
      <xdr:row>627</xdr:row>
      <xdr:rowOff>19050</xdr:rowOff>
    </xdr:from>
    <xdr:to>
      <xdr:col>2</xdr:col>
      <xdr:colOff>2128230</xdr:colOff>
      <xdr:row>628</xdr:row>
      <xdr:rowOff>131148</xdr:rowOff>
    </xdr:to>
    <xdr:pic macro="[0]!ShowGuide">
      <xdr:nvPicPr>
        <xdr:cNvPr id="303" name="HelpBtn09" descr="helpbtn37c.bmp">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25" cstate="print"/>
        <a:stretch>
          <a:fillRect/>
        </a:stretch>
      </xdr:blipFill>
      <xdr:spPr>
        <a:xfrm>
          <a:off x="1969294" y="21469350"/>
          <a:ext cx="358961" cy="264498"/>
        </a:xfrm>
        <a:prstGeom prst="rect">
          <a:avLst/>
        </a:prstGeom>
      </xdr:spPr>
    </xdr:pic>
    <xdr:clientData fPrintsWithSheet="0"/>
  </xdr:twoCellAnchor>
  <xdr:twoCellAnchor editAs="oneCell">
    <xdr:from>
      <xdr:col>3</xdr:col>
      <xdr:colOff>19050</xdr:colOff>
      <xdr:row>627</xdr:row>
      <xdr:rowOff>19050</xdr:rowOff>
    </xdr:from>
    <xdr:to>
      <xdr:col>3</xdr:col>
      <xdr:colOff>209550</xdr:colOff>
      <xdr:row>628</xdr:row>
      <xdr:rowOff>76200</xdr:rowOff>
    </xdr:to>
    <xdr:pic macro="[0]!DetailLevelSelected">
      <xdr:nvPicPr>
        <xdr:cNvPr id="304" name="OutlinePic04" descr="levelbtn.bmp">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26" cstate="print"/>
        <a:stretch>
          <a:fillRect/>
        </a:stretch>
      </xdr:blipFill>
      <xdr:spPr>
        <a:xfrm>
          <a:off x="2736850" y="12503150"/>
          <a:ext cx="190500" cy="209550"/>
        </a:xfrm>
        <a:prstGeom prst="rect">
          <a:avLst/>
        </a:prstGeom>
      </xdr:spPr>
    </xdr:pic>
    <xdr:clientData fPrintsWithSheet="0"/>
  </xdr:twoCellAnchor>
  <xdr:twoCellAnchor editAs="oneCell">
    <xdr:from>
      <xdr:col>3</xdr:col>
      <xdr:colOff>328612</xdr:colOff>
      <xdr:row>628</xdr:row>
      <xdr:rowOff>104775</xdr:rowOff>
    </xdr:from>
    <xdr:to>
      <xdr:col>3</xdr:col>
      <xdr:colOff>604837</xdr:colOff>
      <xdr:row>629</xdr:row>
      <xdr:rowOff>152400</xdr:rowOff>
    </xdr:to>
    <xdr:pic macro="[0]!FreezeCalcSheet">
      <xdr:nvPicPr>
        <xdr:cNvPr id="305" name="btnFreeze04" descr="FreezeBtnSmallb.bmp">
          <a:extLst>
            <a:ext uri="{FF2B5EF4-FFF2-40B4-BE49-F238E27FC236}">
              <a16:creationId xmlns:a16="http://schemas.microsoft.com/office/drawing/2014/main" id="{00000000-0008-0000-0100-000031010000}"/>
            </a:ext>
          </a:extLst>
        </xdr:cNvPr>
        <xdr:cNvPicPr>
          <a:picLocks noChangeAspect="1"/>
        </xdr:cNvPicPr>
      </xdr:nvPicPr>
      <xdr:blipFill>
        <a:blip xmlns:r="http://schemas.openxmlformats.org/officeDocument/2006/relationships" r:embed="rId27" cstate="print"/>
        <a:stretch>
          <a:fillRect/>
        </a:stretch>
      </xdr:blipFill>
      <xdr:spPr>
        <a:xfrm>
          <a:off x="2709862" y="23993475"/>
          <a:ext cx="276225" cy="200025"/>
        </a:xfrm>
        <a:prstGeom prst="rect">
          <a:avLst/>
        </a:prstGeom>
      </xdr:spPr>
    </xdr:pic>
    <xdr:clientData fPrintsWithSheet="0"/>
  </xdr:twoCellAnchor>
  <xdr:twoCellAnchor editAs="oneCell">
    <xdr:from>
      <xdr:col>1</xdr:col>
      <xdr:colOff>26194</xdr:colOff>
      <xdr:row>709</xdr:row>
      <xdr:rowOff>19052</xdr:rowOff>
    </xdr:from>
    <xdr:to>
      <xdr:col>2</xdr:col>
      <xdr:colOff>223230</xdr:colOff>
      <xdr:row>710</xdr:row>
      <xdr:rowOff>140675</xdr:rowOff>
    </xdr:to>
    <xdr:pic macro="[0]!AutoVBA.PrintCurrent">
      <xdr:nvPicPr>
        <xdr:cNvPr id="306" name="PrintBtn29" descr="printbtn37.bmp">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20" cstate="print"/>
        <a:stretch>
          <a:fillRect/>
        </a:stretch>
      </xdr:blipFill>
      <xdr:spPr>
        <a:xfrm>
          <a:off x="64294" y="25565102"/>
          <a:ext cx="358961" cy="264498"/>
        </a:xfrm>
        <a:prstGeom prst="rect">
          <a:avLst/>
        </a:prstGeom>
      </xdr:spPr>
    </xdr:pic>
    <xdr:clientData fPrintsWithSheet="0"/>
  </xdr:twoCellAnchor>
  <xdr:twoCellAnchor editAs="oneCell">
    <xdr:from>
      <xdr:col>2</xdr:col>
      <xdr:colOff>245269</xdr:colOff>
      <xdr:row>709</xdr:row>
      <xdr:rowOff>19052</xdr:rowOff>
    </xdr:from>
    <xdr:to>
      <xdr:col>2</xdr:col>
      <xdr:colOff>604230</xdr:colOff>
      <xdr:row>710</xdr:row>
      <xdr:rowOff>140675</xdr:rowOff>
    </xdr:to>
    <xdr:pic macro="[0]!GotoCashflowTable">
      <xdr:nvPicPr>
        <xdr:cNvPr id="307" name="PrevBtn29" descr="prevbtn37c.bmp">
          <a:extLst>
            <a:ext uri="{FF2B5EF4-FFF2-40B4-BE49-F238E27FC236}">
              <a16:creationId xmlns:a16="http://schemas.microsoft.com/office/drawing/2014/main" id="{00000000-0008-0000-0100-000033010000}"/>
            </a:ext>
          </a:extLst>
        </xdr:cNvPr>
        <xdr:cNvPicPr>
          <a:picLocks noChangeAspect="1"/>
        </xdr:cNvPicPr>
      </xdr:nvPicPr>
      <xdr:blipFill>
        <a:blip xmlns:r="http://schemas.openxmlformats.org/officeDocument/2006/relationships" r:embed="rId21" cstate="print"/>
        <a:stretch>
          <a:fillRect/>
        </a:stretch>
      </xdr:blipFill>
      <xdr:spPr>
        <a:xfrm>
          <a:off x="445294" y="25565102"/>
          <a:ext cx="358961" cy="264498"/>
        </a:xfrm>
        <a:prstGeom prst="rect">
          <a:avLst/>
        </a:prstGeom>
      </xdr:spPr>
    </xdr:pic>
    <xdr:clientData fPrintsWithSheet="0"/>
  </xdr:twoCellAnchor>
  <xdr:twoCellAnchor editAs="oneCell">
    <xdr:from>
      <xdr:col>2</xdr:col>
      <xdr:colOff>626269</xdr:colOff>
      <xdr:row>709</xdr:row>
      <xdr:rowOff>19052</xdr:rowOff>
    </xdr:from>
    <xdr:to>
      <xdr:col>2</xdr:col>
      <xdr:colOff>985230</xdr:colOff>
      <xdr:row>710</xdr:row>
      <xdr:rowOff>140675</xdr:rowOff>
    </xdr:to>
    <xdr:pic macro="[0]!GotoKeyFigures">
      <xdr:nvPicPr>
        <xdr:cNvPr id="308" name="NextBtn29" descr="nextbtn37c.bmp">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22" cstate="print"/>
        <a:stretch>
          <a:fillRect/>
        </a:stretch>
      </xdr:blipFill>
      <xdr:spPr>
        <a:xfrm>
          <a:off x="826294" y="25565102"/>
          <a:ext cx="358961" cy="264498"/>
        </a:xfrm>
        <a:prstGeom prst="rect">
          <a:avLst/>
        </a:prstGeom>
      </xdr:spPr>
    </xdr:pic>
    <xdr:clientData fPrintsWithSheet="0"/>
  </xdr:twoCellAnchor>
  <xdr:twoCellAnchor editAs="oneCell">
    <xdr:from>
      <xdr:col>2</xdr:col>
      <xdr:colOff>1007270</xdr:colOff>
      <xdr:row>709</xdr:row>
      <xdr:rowOff>19052</xdr:rowOff>
    </xdr:from>
    <xdr:to>
      <xdr:col>2</xdr:col>
      <xdr:colOff>1366231</xdr:colOff>
      <xdr:row>710</xdr:row>
      <xdr:rowOff>140675</xdr:rowOff>
    </xdr:to>
    <xdr:pic macro="[0]!GoHome">
      <xdr:nvPicPr>
        <xdr:cNvPr id="309" name="HomeBtn29" descr="homebtn37b.bmp">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23" cstate="print"/>
        <a:stretch>
          <a:fillRect/>
        </a:stretch>
      </xdr:blipFill>
      <xdr:spPr>
        <a:xfrm>
          <a:off x="1207295" y="25565102"/>
          <a:ext cx="358961" cy="264498"/>
        </a:xfrm>
        <a:prstGeom prst="rect">
          <a:avLst/>
        </a:prstGeom>
      </xdr:spPr>
    </xdr:pic>
    <xdr:clientData fPrintsWithSheet="0"/>
  </xdr:twoCellAnchor>
  <xdr:twoCellAnchor editAs="oneCell">
    <xdr:from>
      <xdr:col>2</xdr:col>
      <xdr:colOff>1388269</xdr:colOff>
      <xdr:row>709</xdr:row>
      <xdr:rowOff>19052</xdr:rowOff>
    </xdr:from>
    <xdr:to>
      <xdr:col>2</xdr:col>
      <xdr:colOff>1748743</xdr:colOff>
      <xdr:row>710</xdr:row>
      <xdr:rowOff>141790</xdr:rowOff>
    </xdr:to>
    <xdr:pic macro="[0]!CreateCalcChart">
      <xdr:nvPicPr>
        <xdr:cNvPr id="310" name="ChartBtn29" descr="chartbtn37.bmp">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24" cstate="print"/>
        <a:stretch>
          <a:fillRect/>
        </a:stretch>
      </xdr:blipFill>
      <xdr:spPr>
        <a:xfrm>
          <a:off x="1588294" y="25565102"/>
          <a:ext cx="360474" cy="265613"/>
        </a:xfrm>
        <a:prstGeom prst="rect">
          <a:avLst/>
        </a:prstGeom>
      </xdr:spPr>
    </xdr:pic>
    <xdr:clientData fPrintsWithSheet="0"/>
  </xdr:twoCellAnchor>
  <xdr:twoCellAnchor editAs="oneCell">
    <xdr:from>
      <xdr:col>2</xdr:col>
      <xdr:colOff>1769269</xdr:colOff>
      <xdr:row>709</xdr:row>
      <xdr:rowOff>19052</xdr:rowOff>
    </xdr:from>
    <xdr:to>
      <xdr:col>2</xdr:col>
      <xdr:colOff>2128230</xdr:colOff>
      <xdr:row>710</xdr:row>
      <xdr:rowOff>140675</xdr:rowOff>
    </xdr:to>
    <xdr:pic macro="[0]!ShowGuide">
      <xdr:nvPicPr>
        <xdr:cNvPr id="311" name="HelpBtn29" descr="helpbtn37c.bmp">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25" cstate="print"/>
        <a:stretch>
          <a:fillRect/>
        </a:stretch>
      </xdr:blipFill>
      <xdr:spPr>
        <a:xfrm>
          <a:off x="1969294" y="25565102"/>
          <a:ext cx="358961" cy="264498"/>
        </a:xfrm>
        <a:prstGeom prst="rect">
          <a:avLst/>
        </a:prstGeom>
      </xdr:spPr>
    </xdr:pic>
    <xdr:clientData fPrintsWithSheet="0"/>
  </xdr:twoCellAnchor>
  <xdr:twoCellAnchor editAs="oneCell">
    <xdr:from>
      <xdr:col>3</xdr:col>
      <xdr:colOff>19050</xdr:colOff>
      <xdr:row>709</xdr:row>
      <xdr:rowOff>19052</xdr:rowOff>
    </xdr:from>
    <xdr:to>
      <xdr:col>3</xdr:col>
      <xdr:colOff>209550</xdr:colOff>
      <xdr:row>710</xdr:row>
      <xdr:rowOff>85727</xdr:rowOff>
    </xdr:to>
    <xdr:pic macro="[0]!DetailLevelSelected">
      <xdr:nvPicPr>
        <xdr:cNvPr id="312" name="OutlinePic05" descr="levelbtn.bmp">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26" cstate="print"/>
        <a:stretch>
          <a:fillRect/>
        </a:stretch>
      </xdr:blipFill>
      <xdr:spPr>
        <a:xfrm>
          <a:off x="2736850" y="16687802"/>
          <a:ext cx="190500" cy="206375"/>
        </a:xfrm>
        <a:prstGeom prst="rect">
          <a:avLst/>
        </a:prstGeom>
      </xdr:spPr>
    </xdr:pic>
    <xdr:clientData fPrintsWithSheet="0"/>
  </xdr:twoCellAnchor>
  <xdr:twoCellAnchor editAs="oneCell">
    <xdr:from>
      <xdr:col>3</xdr:col>
      <xdr:colOff>333375</xdr:colOff>
      <xdr:row>710</xdr:row>
      <xdr:rowOff>114300</xdr:rowOff>
    </xdr:from>
    <xdr:to>
      <xdr:col>3</xdr:col>
      <xdr:colOff>609600</xdr:colOff>
      <xdr:row>711</xdr:row>
      <xdr:rowOff>161925</xdr:rowOff>
    </xdr:to>
    <xdr:pic macro="[0]!FreezeCalcSheet">
      <xdr:nvPicPr>
        <xdr:cNvPr id="313" name="btnFreeze05" descr="FreezeBtnSmallb.bmp">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27" cstate="print"/>
        <a:stretch>
          <a:fillRect/>
        </a:stretch>
      </xdr:blipFill>
      <xdr:spPr>
        <a:xfrm>
          <a:off x="2714625" y="25803225"/>
          <a:ext cx="276225" cy="200025"/>
        </a:xfrm>
        <a:prstGeom prst="rect">
          <a:avLst/>
        </a:prstGeom>
      </xdr:spPr>
    </xdr:pic>
    <xdr:clientData fPrintsWithSheet="0"/>
  </xdr:twoCellAnchor>
  <xdr:twoCellAnchor editAs="oneCell">
    <xdr:from>
      <xdr:col>1</xdr:col>
      <xdr:colOff>26193</xdr:colOff>
      <xdr:row>842</xdr:row>
      <xdr:rowOff>19079</xdr:rowOff>
    </xdr:from>
    <xdr:to>
      <xdr:col>2</xdr:col>
      <xdr:colOff>223229</xdr:colOff>
      <xdr:row>844</xdr:row>
      <xdr:rowOff>1002</xdr:rowOff>
    </xdr:to>
    <xdr:pic macro="[0]!AutoVBA.PrintCurrent">
      <xdr:nvPicPr>
        <xdr:cNvPr id="314" name="PrintBtn30" descr="printbtn37.bmp">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20" cstate="print"/>
        <a:stretch>
          <a:fillRect/>
        </a:stretch>
      </xdr:blipFill>
      <xdr:spPr>
        <a:xfrm>
          <a:off x="64293" y="31099154"/>
          <a:ext cx="358961" cy="264498"/>
        </a:xfrm>
        <a:prstGeom prst="rect">
          <a:avLst/>
        </a:prstGeom>
      </xdr:spPr>
    </xdr:pic>
    <xdr:clientData fPrintsWithSheet="0"/>
  </xdr:twoCellAnchor>
  <xdr:twoCellAnchor editAs="oneCell">
    <xdr:from>
      <xdr:col>2</xdr:col>
      <xdr:colOff>245270</xdr:colOff>
      <xdr:row>842</xdr:row>
      <xdr:rowOff>19079</xdr:rowOff>
    </xdr:from>
    <xdr:to>
      <xdr:col>2</xdr:col>
      <xdr:colOff>604231</xdr:colOff>
      <xdr:row>844</xdr:row>
      <xdr:rowOff>1002</xdr:rowOff>
    </xdr:to>
    <xdr:pic macro="[0]!GotoBalanceOrCashflowTable">
      <xdr:nvPicPr>
        <xdr:cNvPr id="315" name="PrevBtn30" descr="prevbtn37c.bmp">
          <a:extLst>
            <a:ext uri="{FF2B5EF4-FFF2-40B4-BE49-F238E27FC236}">
              <a16:creationId xmlns:a16="http://schemas.microsoft.com/office/drawing/2014/main" id="{00000000-0008-0000-0100-00003B010000}"/>
            </a:ext>
          </a:extLst>
        </xdr:cNvPr>
        <xdr:cNvPicPr>
          <a:picLocks noChangeAspect="1"/>
        </xdr:cNvPicPr>
      </xdr:nvPicPr>
      <xdr:blipFill>
        <a:blip xmlns:r="http://schemas.openxmlformats.org/officeDocument/2006/relationships" r:embed="rId21" cstate="print"/>
        <a:stretch>
          <a:fillRect/>
        </a:stretch>
      </xdr:blipFill>
      <xdr:spPr>
        <a:xfrm>
          <a:off x="445295" y="31099154"/>
          <a:ext cx="358961" cy="264498"/>
        </a:xfrm>
        <a:prstGeom prst="rect">
          <a:avLst/>
        </a:prstGeom>
      </xdr:spPr>
    </xdr:pic>
    <xdr:clientData fPrintsWithSheet="0"/>
  </xdr:twoCellAnchor>
  <xdr:twoCellAnchor editAs="oneCell">
    <xdr:from>
      <xdr:col>2</xdr:col>
      <xdr:colOff>626270</xdr:colOff>
      <xdr:row>842</xdr:row>
      <xdr:rowOff>19079</xdr:rowOff>
    </xdr:from>
    <xdr:to>
      <xdr:col>2</xdr:col>
      <xdr:colOff>985231</xdr:colOff>
      <xdr:row>844</xdr:row>
      <xdr:rowOff>1002</xdr:rowOff>
    </xdr:to>
    <xdr:pic macro="[0]!AutoVBA.GotoResultTable">
      <xdr:nvPicPr>
        <xdr:cNvPr id="316" name="NextBtn30" descr="nextbtn37c.bmp">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22" cstate="print"/>
        <a:stretch>
          <a:fillRect/>
        </a:stretch>
      </xdr:blipFill>
      <xdr:spPr>
        <a:xfrm>
          <a:off x="826295" y="31099154"/>
          <a:ext cx="358961" cy="264498"/>
        </a:xfrm>
        <a:prstGeom prst="rect">
          <a:avLst/>
        </a:prstGeom>
      </xdr:spPr>
    </xdr:pic>
    <xdr:clientData fPrintsWithSheet="0"/>
  </xdr:twoCellAnchor>
  <xdr:twoCellAnchor editAs="oneCell">
    <xdr:from>
      <xdr:col>2</xdr:col>
      <xdr:colOff>1007268</xdr:colOff>
      <xdr:row>842</xdr:row>
      <xdr:rowOff>19079</xdr:rowOff>
    </xdr:from>
    <xdr:to>
      <xdr:col>2</xdr:col>
      <xdr:colOff>1366229</xdr:colOff>
      <xdr:row>844</xdr:row>
      <xdr:rowOff>1002</xdr:rowOff>
    </xdr:to>
    <xdr:pic macro="[0]!GoHome">
      <xdr:nvPicPr>
        <xdr:cNvPr id="317" name="HomeBtn30" descr="homebtn37b.bmp">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23" cstate="print"/>
        <a:stretch>
          <a:fillRect/>
        </a:stretch>
      </xdr:blipFill>
      <xdr:spPr>
        <a:xfrm>
          <a:off x="1207293" y="31099154"/>
          <a:ext cx="358961" cy="264498"/>
        </a:xfrm>
        <a:prstGeom prst="rect">
          <a:avLst/>
        </a:prstGeom>
      </xdr:spPr>
    </xdr:pic>
    <xdr:clientData fPrintsWithSheet="0"/>
  </xdr:twoCellAnchor>
  <xdr:twoCellAnchor editAs="oneCell">
    <xdr:from>
      <xdr:col>2</xdr:col>
      <xdr:colOff>1388269</xdr:colOff>
      <xdr:row>842</xdr:row>
      <xdr:rowOff>19079</xdr:rowOff>
    </xdr:from>
    <xdr:to>
      <xdr:col>2</xdr:col>
      <xdr:colOff>1748743</xdr:colOff>
      <xdr:row>844</xdr:row>
      <xdr:rowOff>2117</xdr:rowOff>
    </xdr:to>
    <xdr:pic macro="[0]!CreateCalcChart">
      <xdr:nvPicPr>
        <xdr:cNvPr id="318" name="ChartBtn30" descr="chartbtn37.bmp">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24" cstate="print"/>
        <a:stretch>
          <a:fillRect/>
        </a:stretch>
      </xdr:blipFill>
      <xdr:spPr>
        <a:xfrm>
          <a:off x="1588294" y="31099154"/>
          <a:ext cx="360474" cy="265613"/>
        </a:xfrm>
        <a:prstGeom prst="rect">
          <a:avLst/>
        </a:prstGeom>
      </xdr:spPr>
    </xdr:pic>
    <xdr:clientData fPrintsWithSheet="0"/>
  </xdr:twoCellAnchor>
  <xdr:twoCellAnchor editAs="oneCell">
    <xdr:from>
      <xdr:col>2</xdr:col>
      <xdr:colOff>1769271</xdr:colOff>
      <xdr:row>842</xdr:row>
      <xdr:rowOff>19079</xdr:rowOff>
    </xdr:from>
    <xdr:to>
      <xdr:col>2</xdr:col>
      <xdr:colOff>2128232</xdr:colOff>
      <xdr:row>844</xdr:row>
      <xdr:rowOff>1002</xdr:rowOff>
    </xdr:to>
    <xdr:pic macro="[0]!ShowGuide">
      <xdr:nvPicPr>
        <xdr:cNvPr id="319" name="HelpBtn30" descr="helpbtn37c.bmp">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25" cstate="print"/>
        <a:stretch>
          <a:fillRect/>
        </a:stretch>
      </xdr:blipFill>
      <xdr:spPr>
        <a:xfrm>
          <a:off x="1969296" y="31099154"/>
          <a:ext cx="358961" cy="264498"/>
        </a:xfrm>
        <a:prstGeom prst="rect">
          <a:avLst/>
        </a:prstGeom>
      </xdr:spPr>
    </xdr:pic>
    <xdr:clientData fPrintsWithSheet="0"/>
  </xdr:twoCellAnchor>
  <xdr:twoCellAnchor editAs="oneCell">
    <xdr:from>
      <xdr:col>3</xdr:col>
      <xdr:colOff>21430</xdr:colOff>
      <xdr:row>842</xdr:row>
      <xdr:rowOff>19078</xdr:rowOff>
    </xdr:from>
    <xdr:to>
      <xdr:col>3</xdr:col>
      <xdr:colOff>211930</xdr:colOff>
      <xdr:row>843</xdr:row>
      <xdr:rowOff>85753</xdr:rowOff>
    </xdr:to>
    <xdr:pic macro="[0]!DetailLevelSelected">
      <xdr:nvPicPr>
        <xdr:cNvPr id="320" name="OutlinePic06" descr="levelbtn.bmp">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26" cstate="print"/>
        <a:stretch>
          <a:fillRect/>
        </a:stretch>
      </xdr:blipFill>
      <xdr:spPr>
        <a:xfrm>
          <a:off x="2739230" y="22313928"/>
          <a:ext cx="190500" cy="206375"/>
        </a:xfrm>
        <a:prstGeom prst="rect">
          <a:avLst/>
        </a:prstGeom>
      </xdr:spPr>
    </xdr:pic>
    <xdr:clientData fPrintsWithSheet="0"/>
  </xdr:twoCellAnchor>
  <xdr:twoCellAnchor editAs="oneCell">
    <xdr:from>
      <xdr:col>3</xdr:col>
      <xdr:colOff>338138</xdr:colOff>
      <xdr:row>843</xdr:row>
      <xdr:rowOff>114300</xdr:rowOff>
    </xdr:from>
    <xdr:to>
      <xdr:col>3</xdr:col>
      <xdr:colOff>614363</xdr:colOff>
      <xdr:row>844</xdr:row>
      <xdr:rowOff>171450</xdr:rowOff>
    </xdr:to>
    <xdr:pic macro="[0]!FreezeCalcSheet">
      <xdr:nvPicPr>
        <xdr:cNvPr id="321" name="btnFreeze06" descr="FreezeBtnSmallb.bmp">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27" cstate="print"/>
        <a:stretch>
          <a:fillRect/>
        </a:stretch>
      </xdr:blipFill>
      <xdr:spPr>
        <a:xfrm>
          <a:off x="2719388" y="31337250"/>
          <a:ext cx="276225" cy="200025"/>
        </a:xfrm>
        <a:prstGeom prst="rect">
          <a:avLst/>
        </a:prstGeom>
      </xdr:spPr>
    </xdr:pic>
    <xdr:clientData fPrintsWithSheet="0"/>
  </xdr:twoCellAnchor>
  <xdr:twoCellAnchor editAs="oneCell">
    <xdr:from>
      <xdr:col>0</xdr:col>
      <xdr:colOff>12700</xdr:colOff>
      <xdr:row>442</xdr:row>
      <xdr:rowOff>12700</xdr:rowOff>
    </xdr:from>
    <xdr:to>
      <xdr:col>1</xdr:col>
      <xdr:colOff>3175</xdr:colOff>
      <xdr:row>442</xdr:row>
      <xdr:rowOff>120650</xdr:rowOff>
    </xdr:to>
    <xdr:pic macro="[0]!AssignNewFunctions">
      <xdr:nvPicPr>
        <xdr:cNvPr id="280" name="btnFlipC9000">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2700" y="5346700"/>
          <a:ext cx="104775" cy="107950"/>
        </a:xfrm>
        <a:prstGeom prst="rect">
          <a:avLst/>
        </a:prstGeom>
        <a:noFill/>
        <a:ln w="9525">
          <a:noFill/>
          <a:miter lim="800000"/>
          <a:headEnd/>
          <a:tailEnd/>
        </a:ln>
      </xdr:spPr>
    </xdr:pic>
    <xdr:clientData fPrintsWithSheet="0"/>
  </xdr:twoCellAnchor>
  <xdr:twoCellAnchor editAs="oneCell">
    <xdr:from>
      <xdr:col>0</xdr:col>
      <xdr:colOff>12700</xdr:colOff>
      <xdr:row>459</xdr:row>
      <xdr:rowOff>12700</xdr:rowOff>
    </xdr:from>
    <xdr:to>
      <xdr:col>1</xdr:col>
      <xdr:colOff>3175</xdr:colOff>
      <xdr:row>459</xdr:row>
      <xdr:rowOff>120650</xdr:rowOff>
    </xdr:to>
    <xdr:pic macro="[0]!AssignNewFunctions">
      <xdr:nvPicPr>
        <xdr:cNvPr id="322" name="btnFlipC2060">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2700" y="7718425"/>
          <a:ext cx="104775" cy="10795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14</xdr:row>
          <xdr:rowOff>165100</xdr:rowOff>
        </xdr:from>
        <xdr:to>
          <xdr:col>2</xdr:col>
          <xdr:colOff>1600200</xdr:colOff>
          <xdr:row>16</xdr:row>
          <xdr:rowOff>44450</xdr:rowOff>
        </xdr:to>
        <xdr:sp macro="" textlink="">
          <xdr:nvSpPr>
            <xdr:cNvPr id="2049" name="chkCalcDepr"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753</xdr:row>
          <xdr:rowOff>6350</xdr:rowOff>
        </xdr:from>
        <xdr:to>
          <xdr:col>2</xdr:col>
          <xdr:colOff>1460500</xdr:colOff>
          <xdr:row>771</xdr:row>
          <xdr:rowOff>25400</xdr:rowOff>
        </xdr:to>
        <xdr:sp macro="" textlink="">
          <xdr:nvSpPr>
            <xdr:cNvPr id="2050" name="ddBalDepr008"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770</xdr:row>
          <xdr:rowOff>0</xdr:rowOff>
        </xdr:from>
        <xdr:to>
          <xdr:col>3</xdr:col>
          <xdr:colOff>0</xdr:colOff>
          <xdr:row>772</xdr:row>
          <xdr:rowOff>31750</xdr:rowOff>
        </xdr:to>
        <xdr:sp macro="" textlink="">
          <xdr:nvSpPr>
            <xdr:cNvPr id="2051" name="ddBalDepr012"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732</xdr:row>
          <xdr:rowOff>0</xdr:rowOff>
        </xdr:from>
        <xdr:to>
          <xdr:col>2</xdr:col>
          <xdr:colOff>1460500</xdr:colOff>
          <xdr:row>754</xdr:row>
          <xdr:rowOff>25400</xdr:rowOff>
        </xdr:to>
        <xdr:sp macro="" textlink="">
          <xdr:nvSpPr>
            <xdr:cNvPr id="2052" name="ddBalDepr00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209552</xdr:colOff>
          <xdr:row>7</xdr:row>
          <xdr:rowOff>19050</xdr:rowOff>
        </xdr:from>
        <xdr:to>
          <xdr:col>3</xdr:col>
          <xdr:colOff>603252</xdr:colOff>
          <xdr:row>8</xdr:row>
          <xdr:rowOff>88900</xdr:rowOff>
        </xdr:to>
        <xdr:sp macro="" textlink="">
          <xdr:nvSpPr>
            <xdr:cNvPr id="2053" name="OutlineDD01"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209549</xdr:colOff>
          <xdr:row>436</xdr:row>
          <xdr:rowOff>19050</xdr:rowOff>
        </xdr:from>
        <xdr:to>
          <xdr:col>3</xdr:col>
          <xdr:colOff>603249</xdr:colOff>
          <xdr:row>437</xdr:row>
          <xdr:rowOff>76200</xdr:rowOff>
        </xdr:to>
        <xdr:sp macro="" textlink="">
          <xdr:nvSpPr>
            <xdr:cNvPr id="2054" name="OutlineDD02"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209551</xdr:colOff>
          <xdr:row>539</xdr:row>
          <xdr:rowOff>19051</xdr:rowOff>
        </xdr:from>
        <xdr:to>
          <xdr:col>3</xdr:col>
          <xdr:colOff>603251</xdr:colOff>
          <xdr:row>540</xdr:row>
          <xdr:rowOff>76201</xdr:rowOff>
        </xdr:to>
        <xdr:sp macro="" textlink="">
          <xdr:nvSpPr>
            <xdr:cNvPr id="2055" name="OutlineDD03"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627</xdr:row>
          <xdr:rowOff>19050</xdr:rowOff>
        </xdr:from>
        <xdr:to>
          <xdr:col>3</xdr:col>
          <xdr:colOff>603250</xdr:colOff>
          <xdr:row>628</xdr:row>
          <xdr:rowOff>76200</xdr:rowOff>
        </xdr:to>
        <xdr:sp macro="" textlink="">
          <xdr:nvSpPr>
            <xdr:cNvPr id="2056" name="OutlineDD04"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709</xdr:row>
          <xdr:rowOff>19050</xdr:rowOff>
        </xdr:from>
        <xdr:to>
          <xdr:col>3</xdr:col>
          <xdr:colOff>603250</xdr:colOff>
          <xdr:row>710</xdr:row>
          <xdr:rowOff>88900</xdr:rowOff>
        </xdr:to>
        <xdr:sp macro="" textlink="">
          <xdr:nvSpPr>
            <xdr:cNvPr id="2057" name="OutlineDD05"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6350</xdr:colOff>
          <xdr:row>335</xdr:row>
          <xdr:rowOff>6350</xdr:rowOff>
        </xdr:from>
        <xdr:to>
          <xdr:col>4</xdr:col>
          <xdr:colOff>0</xdr:colOff>
          <xdr:row>437</xdr:row>
          <xdr:rowOff>0</xdr:rowOff>
        </xdr:to>
        <xdr:sp macro="" textlink="">
          <xdr:nvSpPr>
            <xdr:cNvPr id="2058" name="ddIFRSmethod"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348</xdr:row>
          <xdr:rowOff>0</xdr:rowOff>
        </xdr:from>
        <xdr:to>
          <xdr:col>4</xdr:col>
          <xdr:colOff>0</xdr:colOff>
          <xdr:row>437</xdr:row>
          <xdr:rowOff>6350</xdr:rowOff>
        </xdr:to>
        <xdr:sp macro="" textlink="">
          <xdr:nvSpPr>
            <xdr:cNvPr id="2059" name="ddIFRSAlloc0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349</xdr:row>
          <xdr:rowOff>0</xdr:rowOff>
        </xdr:from>
        <xdr:to>
          <xdr:col>2</xdr:col>
          <xdr:colOff>1460500</xdr:colOff>
          <xdr:row>437</xdr:row>
          <xdr:rowOff>0</xdr:rowOff>
        </xdr:to>
        <xdr:sp macro="" textlink="">
          <xdr:nvSpPr>
            <xdr:cNvPr id="2060" name="ddIFRSDepr01"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351</xdr:row>
          <xdr:rowOff>0</xdr:rowOff>
        </xdr:from>
        <xdr:to>
          <xdr:col>4</xdr:col>
          <xdr:colOff>0</xdr:colOff>
          <xdr:row>437</xdr:row>
          <xdr:rowOff>6350</xdr:rowOff>
        </xdr:to>
        <xdr:sp macro="" textlink="">
          <xdr:nvSpPr>
            <xdr:cNvPr id="2061" name="ddIFRSAlloc02"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352</xdr:row>
          <xdr:rowOff>0</xdr:rowOff>
        </xdr:from>
        <xdr:to>
          <xdr:col>2</xdr:col>
          <xdr:colOff>1460500</xdr:colOff>
          <xdr:row>437</xdr:row>
          <xdr:rowOff>0</xdr:rowOff>
        </xdr:to>
        <xdr:sp macro="" textlink="">
          <xdr:nvSpPr>
            <xdr:cNvPr id="2062" name="ddIFRSDepr02"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354</xdr:row>
          <xdr:rowOff>0</xdr:rowOff>
        </xdr:from>
        <xdr:to>
          <xdr:col>4</xdr:col>
          <xdr:colOff>0</xdr:colOff>
          <xdr:row>437</xdr:row>
          <xdr:rowOff>6350</xdr:rowOff>
        </xdr:to>
        <xdr:sp macro="" textlink="">
          <xdr:nvSpPr>
            <xdr:cNvPr id="2063" name="ddIFRSAlloc03"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355</xdr:row>
          <xdr:rowOff>0</xdr:rowOff>
        </xdr:from>
        <xdr:to>
          <xdr:col>2</xdr:col>
          <xdr:colOff>1460500</xdr:colOff>
          <xdr:row>437</xdr:row>
          <xdr:rowOff>0</xdr:rowOff>
        </xdr:to>
        <xdr:sp macro="" textlink="">
          <xdr:nvSpPr>
            <xdr:cNvPr id="2064" name="ddIFRSDepr03"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357</xdr:row>
          <xdr:rowOff>0</xdr:rowOff>
        </xdr:from>
        <xdr:to>
          <xdr:col>4</xdr:col>
          <xdr:colOff>0</xdr:colOff>
          <xdr:row>437</xdr:row>
          <xdr:rowOff>6350</xdr:rowOff>
        </xdr:to>
        <xdr:sp macro="" textlink="">
          <xdr:nvSpPr>
            <xdr:cNvPr id="2065" name="ddIFRSAlloc04"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358</xdr:row>
          <xdr:rowOff>0</xdr:rowOff>
        </xdr:from>
        <xdr:to>
          <xdr:col>2</xdr:col>
          <xdr:colOff>1460500</xdr:colOff>
          <xdr:row>437</xdr:row>
          <xdr:rowOff>0</xdr:rowOff>
        </xdr:to>
        <xdr:sp macro="" textlink="">
          <xdr:nvSpPr>
            <xdr:cNvPr id="2066" name="ddIFRSDepr04"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360</xdr:row>
          <xdr:rowOff>0</xdr:rowOff>
        </xdr:from>
        <xdr:to>
          <xdr:col>4</xdr:col>
          <xdr:colOff>0</xdr:colOff>
          <xdr:row>437</xdr:row>
          <xdr:rowOff>6350</xdr:rowOff>
        </xdr:to>
        <xdr:sp macro="" textlink="">
          <xdr:nvSpPr>
            <xdr:cNvPr id="2067" name="ddIFRSAlloc05"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361</xdr:row>
          <xdr:rowOff>0</xdr:rowOff>
        </xdr:from>
        <xdr:to>
          <xdr:col>2</xdr:col>
          <xdr:colOff>1460500</xdr:colOff>
          <xdr:row>437</xdr:row>
          <xdr:rowOff>0</xdr:rowOff>
        </xdr:to>
        <xdr:sp macro="" textlink="">
          <xdr:nvSpPr>
            <xdr:cNvPr id="2068" name="ddIFRSDepr05"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363</xdr:row>
          <xdr:rowOff>0</xdr:rowOff>
        </xdr:from>
        <xdr:to>
          <xdr:col>4</xdr:col>
          <xdr:colOff>0</xdr:colOff>
          <xdr:row>437</xdr:row>
          <xdr:rowOff>6350</xdr:rowOff>
        </xdr:to>
        <xdr:sp macro="" textlink="">
          <xdr:nvSpPr>
            <xdr:cNvPr id="2069" name="ddIFRSAlloc06"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364</xdr:row>
          <xdr:rowOff>0</xdr:rowOff>
        </xdr:from>
        <xdr:to>
          <xdr:col>2</xdr:col>
          <xdr:colOff>1460500</xdr:colOff>
          <xdr:row>437</xdr:row>
          <xdr:rowOff>0</xdr:rowOff>
        </xdr:to>
        <xdr:sp macro="" textlink="">
          <xdr:nvSpPr>
            <xdr:cNvPr id="2070" name="ddIFRSDepr06"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366</xdr:row>
          <xdr:rowOff>0</xdr:rowOff>
        </xdr:from>
        <xdr:to>
          <xdr:col>4</xdr:col>
          <xdr:colOff>0</xdr:colOff>
          <xdr:row>437</xdr:row>
          <xdr:rowOff>6350</xdr:rowOff>
        </xdr:to>
        <xdr:sp macro="" textlink="">
          <xdr:nvSpPr>
            <xdr:cNvPr id="2071" name="ddIFRSAlloc07"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367</xdr:row>
          <xdr:rowOff>0</xdr:rowOff>
        </xdr:from>
        <xdr:to>
          <xdr:col>2</xdr:col>
          <xdr:colOff>1460500</xdr:colOff>
          <xdr:row>437</xdr:row>
          <xdr:rowOff>0</xdr:rowOff>
        </xdr:to>
        <xdr:sp macro="" textlink="">
          <xdr:nvSpPr>
            <xdr:cNvPr id="2072" name="ddIFRSDepr07" hidden="1">
              <a:extLst>
                <a:ext uri="{63B3BB69-23CF-44E3-9099-C40C66FF867C}">
                  <a14:compatExt spid="_x0000_s2072"/>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369</xdr:row>
          <xdr:rowOff>0</xdr:rowOff>
        </xdr:from>
        <xdr:to>
          <xdr:col>4</xdr:col>
          <xdr:colOff>0</xdr:colOff>
          <xdr:row>437</xdr:row>
          <xdr:rowOff>6350</xdr:rowOff>
        </xdr:to>
        <xdr:sp macro="" textlink="">
          <xdr:nvSpPr>
            <xdr:cNvPr id="2073" name="ddIFRSAlloc08"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370</xdr:row>
          <xdr:rowOff>0</xdr:rowOff>
        </xdr:from>
        <xdr:to>
          <xdr:col>2</xdr:col>
          <xdr:colOff>1460500</xdr:colOff>
          <xdr:row>437</xdr:row>
          <xdr:rowOff>0</xdr:rowOff>
        </xdr:to>
        <xdr:sp macro="" textlink="">
          <xdr:nvSpPr>
            <xdr:cNvPr id="2074" name="ddIFRSDepr08"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372</xdr:row>
          <xdr:rowOff>0</xdr:rowOff>
        </xdr:from>
        <xdr:to>
          <xdr:col>4</xdr:col>
          <xdr:colOff>0</xdr:colOff>
          <xdr:row>437</xdr:row>
          <xdr:rowOff>6350</xdr:rowOff>
        </xdr:to>
        <xdr:sp macro="" textlink="">
          <xdr:nvSpPr>
            <xdr:cNvPr id="2075" name="ddIFRSAlloc09"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373</xdr:row>
          <xdr:rowOff>0</xdr:rowOff>
        </xdr:from>
        <xdr:to>
          <xdr:col>2</xdr:col>
          <xdr:colOff>1460500</xdr:colOff>
          <xdr:row>437</xdr:row>
          <xdr:rowOff>0</xdr:rowOff>
        </xdr:to>
        <xdr:sp macro="" textlink="">
          <xdr:nvSpPr>
            <xdr:cNvPr id="2076" name="ddIFRSDepr09"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375</xdr:row>
          <xdr:rowOff>0</xdr:rowOff>
        </xdr:from>
        <xdr:to>
          <xdr:col>4</xdr:col>
          <xdr:colOff>0</xdr:colOff>
          <xdr:row>437</xdr:row>
          <xdr:rowOff>6350</xdr:rowOff>
        </xdr:to>
        <xdr:sp macro="" textlink="">
          <xdr:nvSpPr>
            <xdr:cNvPr id="2077" name="ddIFRSAlloc10"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376</xdr:row>
          <xdr:rowOff>0</xdr:rowOff>
        </xdr:from>
        <xdr:to>
          <xdr:col>2</xdr:col>
          <xdr:colOff>1460500</xdr:colOff>
          <xdr:row>437</xdr:row>
          <xdr:rowOff>0</xdr:rowOff>
        </xdr:to>
        <xdr:sp macro="" textlink="">
          <xdr:nvSpPr>
            <xdr:cNvPr id="2078" name="ddIFRSDepr1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378</xdr:row>
          <xdr:rowOff>0</xdr:rowOff>
        </xdr:from>
        <xdr:to>
          <xdr:col>4</xdr:col>
          <xdr:colOff>0</xdr:colOff>
          <xdr:row>437</xdr:row>
          <xdr:rowOff>6350</xdr:rowOff>
        </xdr:to>
        <xdr:sp macro="" textlink="">
          <xdr:nvSpPr>
            <xdr:cNvPr id="2079" name="ddIFRSAlloc1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379</xdr:row>
          <xdr:rowOff>0</xdr:rowOff>
        </xdr:from>
        <xdr:to>
          <xdr:col>2</xdr:col>
          <xdr:colOff>1460500</xdr:colOff>
          <xdr:row>437</xdr:row>
          <xdr:rowOff>0</xdr:rowOff>
        </xdr:to>
        <xdr:sp macro="" textlink="">
          <xdr:nvSpPr>
            <xdr:cNvPr id="2080" name="ddIFRSDepr11"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381</xdr:row>
          <xdr:rowOff>0</xdr:rowOff>
        </xdr:from>
        <xdr:to>
          <xdr:col>4</xdr:col>
          <xdr:colOff>0</xdr:colOff>
          <xdr:row>437</xdr:row>
          <xdr:rowOff>6350</xdr:rowOff>
        </xdr:to>
        <xdr:sp macro="" textlink="">
          <xdr:nvSpPr>
            <xdr:cNvPr id="2081" name="ddIFRSAlloc12"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382</xdr:row>
          <xdr:rowOff>0</xdr:rowOff>
        </xdr:from>
        <xdr:to>
          <xdr:col>2</xdr:col>
          <xdr:colOff>1460500</xdr:colOff>
          <xdr:row>437</xdr:row>
          <xdr:rowOff>0</xdr:rowOff>
        </xdr:to>
        <xdr:sp macro="" textlink="">
          <xdr:nvSpPr>
            <xdr:cNvPr id="2082" name="ddIFRSDepr12"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720</xdr:row>
          <xdr:rowOff>0</xdr:rowOff>
        </xdr:from>
        <xdr:to>
          <xdr:col>2</xdr:col>
          <xdr:colOff>1460500</xdr:colOff>
          <xdr:row>754</xdr:row>
          <xdr:rowOff>25400</xdr:rowOff>
        </xdr:to>
        <xdr:sp macro="" textlink="">
          <xdr:nvSpPr>
            <xdr:cNvPr id="2083" name="ddBalDepr001"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724</xdr:row>
          <xdr:rowOff>0</xdr:rowOff>
        </xdr:from>
        <xdr:to>
          <xdr:col>2</xdr:col>
          <xdr:colOff>1460500</xdr:colOff>
          <xdr:row>754</xdr:row>
          <xdr:rowOff>25400</xdr:rowOff>
        </xdr:to>
        <xdr:sp macro="" textlink="">
          <xdr:nvSpPr>
            <xdr:cNvPr id="2084" name="ddBalDepr002"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737</xdr:row>
          <xdr:rowOff>6350</xdr:rowOff>
        </xdr:from>
        <xdr:to>
          <xdr:col>2</xdr:col>
          <xdr:colOff>1460500</xdr:colOff>
          <xdr:row>771</xdr:row>
          <xdr:rowOff>25400</xdr:rowOff>
        </xdr:to>
        <xdr:sp macro="" textlink="">
          <xdr:nvSpPr>
            <xdr:cNvPr id="2085" name="ddBalDepr005"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741</xdr:row>
          <xdr:rowOff>6350</xdr:rowOff>
        </xdr:from>
        <xdr:to>
          <xdr:col>2</xdr:col>
          <xdr:colOff>1460500</xdr:colOff>
          <xdr:row>771</xdr:row>
          <xdr:rowOff>25400</xdr:rowOff>
        </xdr:to>
        <xdr:sp macro="" textlink="">
          <xdr:nvSpPr>
            <xdr:cNvPr id="2086" name="ddBalDepr006"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745</xdr:row>
          <xdr:rowOff>6350</xdr:rowOff>
        </xdr:from>
        <xdr:to>
          <xdr:col>2</xdr:col>
          <xdr:colOff>1460500</xdr:colOff>
          <xdr:row>771</xdr:row>
          <xdr:rowOff>25400</xdr:rowOff>
        </xdr:to>
        <xdr:sp macro="" textlink="">
          <xdr:nvSpPr>
            <xdr:cNvPr id="2087" name="ddBalDepr007"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758</xdr:row>
          <xdr:rowOff>0</xdr:rowOff>
        </xdr:from>
        <xdr:to>
          <xdr:col>3</xdr:col>
          <xdr:colOff>0</xdr:colOff>
          <xdr:row>772</xdr:row>
          <xdr:rowOff>31750</xdr:rowOff>
        </xdr:to>
        <xdr:sp macro="" textlink="">
          <xdr:nvSpPr>
            <xdr:cNvPr id="2088" name="ddBalDepr009"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762</xdr:row>
          <xdr:rowOff>0</xdr:rowOff>
        </xdr:from>
        <xdr:to>
          <xdr:col>3</xdr:col>
          <xdr:colOff>0</xdr:colOff>
          <xdr:row>772</xdr:row>
          <xdr:rowOff>31750</xdr:rowOff>
        </xdr:to>
        <xdr:sp macro="" textlink="">
          <xdr:nvSpPr>
            <xdr:cNvPr id="2089" name="ddBalDepr010"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766</xdr:row>
          <xdr:rowOff>0</xdr:rowOff>
        </xdr:from>
        <xdr:to>
          <xdr:col>3</xdr:col>
          <xdr:colOff>0</xdr:colOff>
          <xdr:row>772</xdr:row>
          <xdr:rowOff>31750</xdr:rowOff>
        </xdr:to>
        <xdr:sp macro="" textlink="">
          <xdr:nvSpPr>
            <xdr:cNvPr id="2090" name="ddBalDepr011"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728</xdr:row>
          <xdr:rowOff>0</xdr:rowOff>
        </xdr:from>
        <xdr:to>
          <xdr:col>2</xdr:col>
          <xdr:colOff>1460500</xdr:colOff>
          <xdr:row>754</xdr:row>
          <xdr:rowOff>25400</xdr:rowOff>
        </xdr:to>
        <xdr:sp macro="" textlink="">
          <xdr:nvSpPr>
            <xdr:cNvPr id="2091" name="ddBalDepr00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211930</xdr:colOff>
          <xdr:row>842</xdr:row>
          <xdr:rowOff>19050</xdr:rowOff>
        </xdr:from>
        <xdr:to>
          <xdr:col>3</xdr:col>
          <xdr:colOff>605630</xdr:colOff>
          <xdr:row>843</xdr:row>
          <xdr:rowOff>88900</xdr:rowOff>
        </xdr:to>
        <xdr:sp macro="" textlink="">
          <xdr:nvSpPr>
            <xdr:cNvPr id="2092" name="OutlineDD06"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749</xdr:row>
          <xdr:rowOff>6350</xdr:rowOff>
        </xdr:from>
        <xdr:to>
          <xdr:col>2</xdr:col>
          <xdr:colOff>1460500</xdr:colOff>
          <xdr:row>771</xdr:row>
          <xdr:rowOff>25400</xdr:rowOff>
        </xdr:to>
        <xdr:sp macro="" textlink="">
          <xdr:nvSpPr>
            <xdr:cNvPr id="2093" name="ddBalDepr013"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2238375</xdr:colOff>
      <xdr:row>2</xdr:row>
      <xdr:rowOff>26194</xdr:rowOff>
    </xdr:from>
    <xdr:to>
      <xdr:col>6</xdr:col>
      <xdr:colOff>2390775</xdr:colOff>
      <xdr:row>2</xdr:row>
      <xdr:rowOff>169069</xdr:rowOff>
    </xdr:to>
    <xdr:pic macro="[0]!ElimShowDD">
      <xdr:nvPicPr>
        <xdr:cNvPr id="2" name="btnEliminations" descr="showhidebtn">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8375" y="350044"/>
          <a:ext cx="152400" cy="142875"/>
        </a:xfrm>
        <a:prstGeom prst="rect">
          <a:avLst/>
        </a:prstGeom>
        <a:noFill/>
        <a:ln w="9525">
          <a:noFill/>
          <a:miter lim="800000"/>
          <a:headEnd/>
          <a:tailEnd/>
        </a:ln>
      </xdr:spPr>
    </xdr:pic>
    <xdr:clientData fPrintsWithSheet="0"/>
  </xdr:twoCellAnchor>
  <xdr:twoCellAnchor editAs="oneCell">
    <xdr:from>
      <xdr:col>6</xdr:col>
      <xdr:colOff>2076450</xdr:colOff>
      <xdr:row>2</xdr:row>
      <xdr:rowOff>26194</xdr:rowOff>
    </xdr:from>
    <xdr:to>
      <xdr:col>6</xdr:col>
      <xdr:colOff>2228871</xdr:colOff>
      <xdr:row>2</xdr:row>
      <xdr:rowOff>169089</xdr:rowOff>
    </xdr:to>
    <xdr:pic macro="[0]!ElimGotoCalcSheetRow">
      <xdr:nvPicPr>
        <xdr:cNvPr id="7" name="btnGotoCalcRow" descr="GotoSourceRowButton2.pn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stretch>
          <a:fillRect/>
        </a:stretch>
      </xdr:blipFill>
      <xdr:spPr>
        <a:xfrm>
          <a:off x="2076450" y="350044"/>
          <a:ext cx="152421" cy="142895"/>
        </a:xfrm>
        <a:prstGeom prst="rect">
          <a:avLst/>
        </a:prstGeom>
      </xdr:spPr>
    </xdr:pic>
    <xdr:clientData fPrintsWithSheet="0"/>
  </xdr:twoCellAnchor>
  <xdr:twoCellAnchor editAs="oneCell">
    <xdr:from>
      <xdr:col>6</xdr:col>
      <xdr:colOff>28576</xdr:colOff>
      <xdr:row>0</xdr:row>
      <xdr:rowOff>30958</xdr:rowOff>
    </xdr:from>
    <xdr:to>
      <xdr:col>6</xdr:col>
      <xdr:colOff>387537</xdr:colOff>
      <xdr:row>1</xdr:row>
      <xdr:rowOff>133531</xdr:rowOff>
    </xdr:to>
    <xdr:pic macro="[0]!AutoVBA.PrintCurrent">
      <xdr:nvPicPr>
        <xdr:cNvPr id="8" name="PrintBtnElim" descr="printbtn37.bmp">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print"/>
        <a:stretch>
          <a:fillRect/>
        </a:stretch>
      </xdr:blipFill>
      <xdr:spPr>
        <a:xfrm>
          <a:off x="28576" y="30958"/>
          <a:ext cx="358961" cy="264498"/>
        </a:xfrm>
        <a:prstGeom prst="rect">
          <a:avLst/>
        </a:prstGeom>
      </xdr:spPr>
    </xdr:pic>
    <xdr:clientData fPrintsWithSheet="0"/>
  </xdr:twoCellAnchor>
  <xdr:twoCellAnchor editAs="oneCell">
    <xdr:from>
      <xdr:col>6</xdr:col>
      <xdr:colOff>409574</xdr:colOff>
      <xdr:row>0</xdr:row>
      <xdr:rowOff>30958</xdr:rowOff>
    </xdr:from>
    <xdr:to>
      <xdr:col>6</xdr:col>
      <xdr:colOff>768535</xdr:colOff>
      <xdr:row>1</xdr:row>
      <xdr:rowOff>133531</xdr:rowOff>
    </xdr:to>
    <xdr:pic macro="[0]!GotoPrevSheet">
      <xdr:nvPicPr>
        <xdr:cNvPr id="9" name="PrevBtnElim" descr="prevbtn37c.bm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cstate="print"/>
        <a:stretch>
          <a:fillRect/>
        </a:stretch>
      </xdr:blipFill>
      <xdr:spPr>
        <a:xfrm>
          <a:off x="409574" y="30958"/>
          <a:ext cx="358961" cy="264498"/>
        </a:xfrm>
        <a:prstGeom prst="rect">
          <a:avLst/>
        </a:prstGeom>
      </xdr:spPr>
    </xdr:pic>
    <xdr:clientData fPrintsWithSheet="0"/>
  </xdr:twoCellAnchor>
  <xdr:twoCellAnchor editAs="oneCell">
    <xdr:from>
      <xdr:col>6</xdr:col>
      <xdr:colOff>790577</xdr:colOff>
      <xdr:row>0</xdr:row>
      <xdr:rowOff>30958</xdr:rowOff>
    </xdr:from>
    <xdr:to>
      <xdr:col>6</xdr:col>
      <xdr:colOff>1149538</xdr:colOff>
      <xdr:row>1</xdr:row>
      <xdr:rowOff>133531</xdr:rowOff>
    </xdr:to>
    <xdr:pic macro="[0]!GotoNextSheet">
      <xdr:nvPicPr>
        <xdr:cNvPr id="10" name="NextBtnElim" descr="nextbtn37c.bmp">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cstate="print"/>
        <a:stretch>
          <a:fillRect/>
        </a:stretch>
      </xdr:blipFill>
      <xdr:spPr>
        <a:xfrm>
          <a:off x="790577" y="30958"/>
          <a:ext cx="358961" cy="264498"/>
        </a:xfrm>
        <a:prstGeom prst="rect">
          <a:avLst/>
        </a:prstGeom>
      </xdr:spPr>
    </xdr:pic>
    <xdr:clientData fPrintsWithSheet="0"/>
  </xdr:twoCellAnchor>
  <xdr:twoCellAnchor editAs="oneCell">
    <xdr:from>
      <xdr:col>6</xdr:col>
      <xdr:colOff>1171577</xdr:colOff>
      <xdr:row>0</xdr:row>
      <xdr:rowOff>30958</xdr:rowOff>
    </xdr:from>
    <xdr:to>
      <xdr:col>6</xdr:col>
      <xdr:colOff>1530538</xdr:colOff>
      <xdr:row>1</xdr:row>
      <xdr:rowOff>133531</xdr:rowOff>
    </xdr:to>
    <xdr:pic macro="[0]!GoHome">
      <xdr:nvPicPr>
        <xdr:cNvPr id="11" name="HomeBtnElim" descr="homebtn37b.bmp">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print"/>
        <a:stretch>
          <a:fillRect/>
        </a:stretch>
      </xdr:blipFill>
      <xdr:spPr>
        <a:xfrm>
          <a:off x="1171577" y="30958"/>
          <a:ext cx="358961" cy="264498"/>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6</xdr:col>
          <xdr:colOff>1543238</xdr:colOff>
          <xdr:row>0</xdr:row>
          <xdr:rowOff>12700</xdr:rowOff>
        </xdr:from>
        <xdr:to>
          <xdr:col>11</xdr:col>
          <xdr:colOff>685988</xdr:colOff>
          <xdr:row>1</xdr:row>
          <xdr:rowOff>88900</xdr:rowOff>
        </xdr:to>
        <xdr:sp macro="" textlink="">
          <xdr:nvSpPr>
            <xdr:cNvPr id="7169" name="chkElimGroups"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Grouping</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3</xdr:col>
      <xdr:colOff>1968500</xdr:colOff>
      <xdr:row>0</xdr:row>
      <xdr:rowOff>28575</xdr:rowOff>
    </xdr:from>
    <xdr:to>
      <xdr:col>3</xdr:col>
      <xdr:colOff>2149475</xdr:colOff>
      <xdr:row>0</xdr:row>
      <xdr:rowOff>200025</xdr:rowOff>
    </xdr:to>
    <xdr:pic macro="[0]!AutoVBA.ToResult1">
      <xdr:nvPicPr>
        <xdr:cNvPr id="7" name="Btn1" descr="btn1">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54300" y="28575"/>
          <a:ext cx="180975" cy="171450"/>
        </a:xfrm>
        <a:prstGeom prst="rect">
          <a:avLst/>
        </a:prstGeom>
        <a:noFill/>
        <a:ln w="9525">
          <a:noFill/>
          <a:miter lim="800000"/>
          <a:headEnd/>
          <a:tailEnd/>
        </a:ln>
      </xdr:spPr>
    </xdr:pic>
    <xdr:clientData fPrintsWithSheet="0"/>
  </xdr:twoCellAnchor>
  <xdr:twoCellAnchor editAs="absolute">
    <xdr:from>
      <xdr:col>3</xdr:col>
      <xdr:colOff>2393950</xdr:colOff>
      <xdr:row>0</xdr:row>
      <xdr:rowOff>28575</xdr:rowOff>
    </xdr:from>
    <xdr:to>
      <xdr:col>4</xdr:col>
      <xdr:colOff>79375</xdr:colOff>
      <xdr:row>0</xdr:row>
      <xdr:rowOff>200025</xdr:rowOff>
    </xdr:to>
    <xdr:pic macro="[0]!AutoVBA.ToResult3">
      <xdr:nvPicPr>
        <xdr:cNvPr id="8" name="Btn3" descr="btn3">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11500" y="28575"/>
          <a:ext cx="180975" cy="171450"/>
        </a:xfrm>
        <a:prstGeom prst="rect">
          <a:avLst/>
        </a:prstGeom>
        <a:noFill/>
        <a:ln w="9525">
          <a:noFill/>
          <a:miter lim="800000"/>
          <a:headEnd/>
          <a:tailEnd/>
        </a:ln>
      </xdr:spPr>
    </xdr:pic>
    <xdr:clientData fPrintsWithSheet="0"/>
  </xdr:twoCellAnchor>
  <xdr:twoCellAnchor editAs="absolute">
    <xdr:from>
      <xdr:col>4</xdr:col>
      <xdr:colOff>111125</xdr:colOff>
      <xdr:row>0</xdr:row>
      <xdr:rowOff>28575</xdr:rowOff>
    </xdr:from>
    <xdr:to>
      <xdr:col>4</xdr:col>
      <xdr:colOff>292100</xdr:colOff>
      <xdr:row>0</xdr:row>
      <xdr:rowOff>200025</xdr:rowOff>
    </xdr:to>
    <xdr:pic macro="[0]!AutoVBA.ToResult4">
      <xdr:nvPicPr>
        <xdr:cNvPr id="9" name="Btn4" descr="btn4">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324225" y="28575"/>
          <a:ext cx="180975" cy="171450"/>
        </a:xfrm>
        <a:prstGeom prst="rect">
          <a:avLst/>
        </a:prstGeom>
        <a:noFill/>
        <a:ln w="9525">
          <a:noFill/>
          <a:miter lim="800000"/>
          <a:headEnd/>
          <a:tailEnd/>
        </a:ln>
      </xdr:spPr>
    </xdr:pic>
    <xdr:clientData fPrintsWithSheet="0"/>
  </xdr:twoCellAnchor>
  <xdr:twoCellAnchor editAs="absolute">
    <xdr:from>
      <xdr:col>4</xdr:col>
      <xdr:colOff>323850</xdr:colOff>
      <xdr:row>0</xdr:row>
      <xdr:rowOff>28575</xdr:rowOff>
    </xdr:from>
    <xdr:to>
      <xdr:col>4</xdr:col>
      <xdr:colOff>504825</xdr:colOff>
      <xdr:row>0</xdr:row>
      <xdr:rowOff>200025</xdr:rowOff>
    </xdr:to>
    <xdr:pic macro="[0]!AutoVBA.ToResult5">
      <xdr:nvPicPr>
        <xdr:cNvPr id="10" name="Btn5" descr="btn5">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536950" y="28575"/>
          <a:ext cx="180975" cy="171450"/>
        </a:xfrm>
        <a:prstGeom prst="rect">
          <a:avLst/>
        </a:prstGeom>
        <a:noFill/>
        <a:ln w="9525">
          <a:noFill/>
          <a:miter lim="800000"/>
          <a:headEnd/>
          <a:tailEnd/>
        </a:ln>
      </xdr:spPr>
    </xdr:pic>
    <xdr:clientData fPrintsWithSheet="0"/>
  </xdr:twoCellAnchor>
  <xdr:twoCellAnchor editAs="absolute">
    <xdr:from>
      <xdr:col>4</xdr:col>
      <xdr:colOff>536575</xdr:colOff>
      <xdr:row>0</xdr:row>
      <xdr:rowOff>28575</xdr:rowOff>
    </xdr:from>
    <xdr:to>
      <xdr:col>4</xdr:col>
      <xdr:colOff>717550</xdr:colOff>
      <xdr:row>0</xdr:row>
      <xdr:rowOff>200025</xdr:rowOff>
    </xdr:to>
    <xdr:pic macro="[0]!AutoVBA.ToResult6">
      <xdr:nvPicPr>
        <xdr:cNvPr id="11" name="Btn6" descr="btn6">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49675" y="28575"/>
          <a:ext cx="180975" cy="171450"/>
        </a:xfrm>
        <a:prstGeom prst="rect">
          <a:avLst/>
        </a:prstGeom>
        <a:noFill/>
        <a:ln w="9525">
          <a:noFill/>
          <a:miter lim="800000"/>
          <a:headEnd/>
          <a:tailEnd/>
        </a:ln>
      </xdr:spPr>
    </xdr:pic>
    <xdr:clientData fPrintsWithSheet="0"/>
  </xdr:twoCellAnchor>
  <xdr:twoCellAnchor editAs="absolute">
    <xdr:from>
      <xdr:col>3</xdr:col>
      <xdr:colOff>2181225</xdr:colOff>
      <xdr:row>0</xdr:row>
      <xdr:rowOff>28575</xdr:rowOff>
    </xdr:from>
    <xdr:to>
      <xdr:col>3</xdr:col>
      <xdr:colOff>2362200</xdr:colOff>
      <xdr:row>0</xdr:row>
      <xdr:rowOff>200025</xdr:rowOff>
    </xdr:to>
    <xdr:pic macro="[0]!AutoVBA.ToResult2">
      <xdr:nvPicPr>
        <xdr:cNvPr id="12" name="Btn2" descr="btn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867025" y="28575"/>
          <a:ext cx="180975" cy="171450"/>
        </a:xfrm>
        <a:prstGeom prst="rect">
          <a:avLst/>
        </a:prstGeom>
        <a:noFill/>
        <a:ln w="9525">
          <a:noFill/>
          <a:miter lim="800000"/>
          <a:headEnd/>
          <a:tailEnd/>
        </a:ln>
      </xdr:spPr>
    </xdr:pic>
    <xdr:clientData fPrintsWithSheet="0"/>
  </xdr:twoCellAnchor>
  <xdr:twoCellAnchor editAs="oneCell">
    <xdr:from>
      <xdr:col>9</xdr:col>
      <xdr:colOff>809626</xdr:colOff>
      <xdr:row>0</xdr:row>
      <xdr:rowOff>28575</xdr:rowOff>
    </xdr:from>
    <xdr:to>
      <xdr:col>10</xdr:col>
      <xdr:colOff>101601</xdr:colOff>
      <xdr:row>0</xdr:row>
      <xdr:rowOff>200025</xdr:rowOff>
    </xdr:to>
    <xdr:pic macro="[0]!GotoProposal">
      <xdr:nvPicPr>
        <xdr:cNvPr id="13" name="PropBtn" descr="propbtn">
          <a:extLst>
            <a:ext uri="{FF2B5EF4-FFF2-40B4-BE49-F238E27FC236}">
              <a16:creationId xmlns:a16="http://schemas.microsoft.com/office/drawing/2014/main" id="{00000000-0008-0000-0300-00000D000000}"/>
            </a:ext>
          </a:extLst>
        </xdr:cNvPr>
        <xdr:cNvPicPr>
          <a:picLocks noChangeArrowheads="1"/>
        </xdr:cNvPicPr>
      </xdr:nvPicPr>
      <xdr:blipFill>
        <a:blip xmlns:r="http://schemas.openxmlformats.org/officeDocument/2006/relationships" r:embed="rId7" cstate="print"/>
        <a:srcRect/>
        <a:stretch>
          <a:fillRect/>
        </a:stretch>
      </xdr:blipFill>
      <xdr:spPr bwMode="auto">
        <a:xfrm>
          <a:off x="7629526" y="28575"/>
          <a:ext cx="180975" cy="171450"/>
        </a:xfrm>
        <a:prstGeom prst="rect">
          <a:avLst/>
        </a:prstGeom>
        <a:noFill/>
        <a:ln w="9525">
          <a:noFill/>
          <a:miter lim="800000"/>
          <a:headEnd/>
          <a:tailEnd/>
        </a:ln>
      </xdr:spPr>
    </xdr:pic>
    <xdr:clientData fPrintsWithSheet="0"/>
  </xdr:twoCellAnchor>
  <xdr:twoCellAnchor editAs="absolute">
    <xdr:from>
      <xdr:col>2</xdr:col>
      <xdr:colOff>28575</xdr:colOff>
      <xdr:row>2</xdr:row>
      <xdr:rowOff>28575</xdr:rowOff>
    </xdr:from>
    <xdr:to>
      <xdr:col>3</xdr:col>
      <xdr:colOff>0</xdr:colOff>
      <xdr:row>2</xdr:row>
      <xdr:rowOff>171450</xdr:rowOff>
    </xdr:to>
    <xdr:pic macro="[0]!ShowHideResultRows">
      <xdr:nvPicPr>
        <xdr:cNvPr id="14" name="btnShowHideResult" descr="showhidebtn">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33400" y="314325"/>
          <a:ext cx="152400" cy="142875"/>
        </a:xfrm>
        <a:prstGeom prst="rect">
          <a:avLst/>
        </a:prstGeom>
        <a:noFill/>
        <a:ln w="9525">
          <a:noFill/>
          <a:miter lim="800000"/>
          <a:headEnd/>
          <a:tailEnd/>
        </a:ln>
      </xdr:spPr>
    </xdr:pic>
    <xdr:clientData fPrintsWithSheet="0"/>
  </xdr:twoCellAnchor>
  <xdr:twoCellAnchor editAs="oneCell">
    <xdr:from>
      <xdr:col>2</xdr:col>
      <xdr:colOff>28575</xdr:colOff>
      <xdr:row>15</xdr:row>
      <xdr:rowOff>9525</xdr:rowOff>
    </xdr:from>
    <xdr:to>
      <xdr:col>3</xdr:col>
      <xdr:colOff>0</xdr:colOff>
      <xdr:row>15</xdr:row>
      <xdr:rowOff>152400</xdr:rowOff>
    </xdr:to>
    <xdr:pic macro="[0]!ShowHidePerpetuityCalculation">
      <xdr:nvPicPr>
        <xdr:cNvPr id="16" name="btnPerpetuity" descr="rspec2b" hidden="1">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2047875"/>
          <a:ext cx="152400" cy="142875"/>
        </a:xfrm>
        <a:prstGeom prst="rect">
          <a:avLst/>
        </a:prstGeom>
        <a:noFill/>
        <a:ln w="9525">
          <a:noFill/>
          <a:miter lim="800000"/>
          <a:headEnd/>
          <a:tailEnd/>
        </a:ln>
      </xdr:spPr>
    </xdr:pic>
    <xdr:clientData fPrintsWithSheet="0"/>
  </xdr:twoCellAnchor>
  <xdr:twoCellAnchor editAs="oneCell">
    <xdr:from>
      <xdr:col>2</xdr:col>
      <xdr:colOff>28575</xdr:colOff>
      <xdr:row>37</xdr:row>
      <xdr:rowOff>9525</xdr:rowOff>
    </xdr:from>
    <xdr:to>
      <xdr:col>3</xdr:col>
      <xdr:colOff>0</xdr:colOff>
      <xdr:row>50</xdr:row>
      <xdr:rowOff>142875</xdr:rowOff>
    </xdr:to>
    <xdr:pic macro="[0]!ToggleResultNetDebtSpecs">
      <xdr:nvPicPr>
        <xdr:cNvPr id="17" name="btnNetDebt" descr="rspec2b" hidden="1">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4495800"/>
          <a:ext cx="152400" cy="142875"/>
        </a:xfrm>
        <a:prstGeom prst="rect">
          <a:avLst/>
        </a:prstGeom>
        <a:noFill/>
        <a:ln w="9525">
          <a:noFill/>
          <a:miter lim="800000"/>
          <a:headEnd/>
          <a:tailEnd/>
        </a:ln>
      </xdr:spPr>
    </xdr:pic>
    <xdr:clientData fPrintsWithSheet="0"/>
  </xdr:twoCellAnchor>
  <xdr:twoCellAnchor editAs="oneCell">
    <xdr:from>
      <xdr:col>4</xdr:col>
      <xdr:colOff>768350</xdr:colOff>
      <xdr:row>37</xdr:row>
      <xdr:rowOff>9525</xdr:rowOff>
    </xdr:from>
    <xdr:to>
      <xdr:col>5</xdr:col>
      <xdr:colOff>6350</xdr:colOff>
      <xdr:row>50</xdr:row>
      <xdr:rowOff>142875</xdr:rowOff>
    </xdr:to>
    <xdr:pic macro="[0]!ResultNetDebtOptions">
      <xdr:nvPicPr>
        <xdr:cNvPr id="18" name="btnNetDebtOptions" descr="timebtn2b" hidden="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35400" y="4495800"/>
          <a:ext cx="152400" cy="142875"/>
        </a:xfrm>
        <a:prstGeom prst="rect">
          <a:avLst/>
        </a:prstGeom>
        <a:noFill/>
        <a:ln w="9525">
          <a:noFill/>
          <a:miter lim="800000"/>
          <a:headEnd/>
          <a:tailEnd/>
        </a:ln>
      </xdr:spPr>
    </xdr:pic>
    <xdr:clientData fPrintsWithSheet="0"/>
  </xdr:twoCellAnchor>
  <xdr:twoCellAnchor editAs="oneCell">
    <xdr:from>
      <xdr:col>4</xdr:col>
      <xdr:colOff>800100</xdr:colOff>
      <xdr:row>15</xdr:row>
      <xdr:rowOff>9525</xdr:rowOff>
    </xdr:from>
    <xdr:to>
      <xdr:col>4</xdr:col>
      <xdr:colOff>952500</xdr:colOff>
      <xdr:row>15</xdr:row>
      <xdr:rowOff>152400</xdr:rowOff>
    </xdr:to>
    <xdr:pic macro="[0]!ResidualOptions">
      <xdr:nvPicPr>
        <xdr:cNvPr id="19" name="btnResidualOptions" descr="timebtn2b">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013200" y="1889125"/>
          <a:ext cx="152400" cy="142875"/>
        </a:xfrm>
        <a:prstGeom prst="rect">
          <a:avLst/>
        </a:prstGeom>
        <a:noFill/>
        <a:ln w="9525">
          <a:noFill/>
          <a:miter lim="800000"/>
          <a:headEnd/>
          <a:tailEnd/>
        </a:ln>
      </xdr:spPr>
    </xdr:pic>
    <xdr:clientData fPrintsWithSheet="0"/>
  </xdr:twoCellAnchor>
  <xdr:twoCellAnchor editAs="oneCell">
    <xdr:from>
      <xdr:col>4</xdr:col>
      <xdr:colOff>768350</xdr:colOff>
      <xdr:row>62</xdr:row>
      <xdr:rowOff>9525</xdr:rowOff>
    </xdr:from>
    <xdr:to>
      <xdr:col>5</xdr:col>
      <xdr:colOff>6350</xdr:colOff>
      <xdr:row>66</xdr:row>
      <xdr:rowOff>142875</xdr:rowOff>
    </xdr:to>
    <xdr:pic macro="[0]!ShowImpairmentTestOptions">
      <xdr:nvPicPr>
        <xdr:cNvPr id="20" name="btnImpairmentBVR" descr="timebtn2b" hidden="1">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35400" y="8134350"/>
          <a:ext cx="152400" cy="142875"/>
        </a:xfrm>
        <a:prstGeom prst="rect">
          <a:avLst/>
        </a:prstGeom>
        <a:noFill/>
        <a:ln w="9525">
          <a:noFill/>
          <a:miter lim="800000"/>
          <a:headEnd/>
          <a:tailEnd/>
        </a:ln>
      </xdr:spPr>
    </xdr:pic>
    <xdr:clientData fPrintsWithSheet="0"/>
  </xdr:twoCellAnchor>
  <xdr:twoCellAnchor editAs="oneCell">
    <xdr:from>
      <xdr:col>2</xdr:col>
      <xdr:colOff>41275</xdr:colOff>
      <xdr:row>90</xdr:row>
      <xdr:rowOff>38100</xdr:rowOff>
    </xdr:from>
    <xdr:to>
      <xdr:col>2</xdr:col>
      <xdr:colOff>146050</xdr:colOff>
      <xdr:row>124</xdr:row>
      <xdr:rowOff>47625</xdr:rowOff>
    </xdr:to>
    <xdr:pic macro="[0]!ToggleResultEquityIndicators">
      <xdr:nvPicPr>
        <xdr:cNvPr id="21" name="btnToggleEquity" hidden="1">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46100" y="11849100"/>
          <a:ext cx="104775" cy="104775"/>
        </a:xfrm>
        <a:prstGeom prst="rect">
          <a:avLst/>
        </a:prstGeom>
        <a:noFill/>
        <a:ln w="9525">
          <a:noFill/>
          <a:miter lim="800000"/>
          <a:headEnd/>
          <a:tailEnd/>
        </a:ln>
      </xdr:spPr>
    </xdr:pic>
    <xdr:clientData fPrintsWithSheet="0"/>
  </xdr:twoCellAnchor>
  <xdr:twoCellAnchor editAs="oneCell">
    <xdr:from>
      <xdr:col>2</xdr:col>
      <xdr:colOff>28575</xdr:colOff>
      <xdr:row>95</xdr:row>
      <xdr:rowOff>9525</xdr:rowOff>
    </xdr:from>
    <xdr:to>
      <xdr:col>3</xdr:col>
      <xdr:colOff>0</xdr:colOff>
      <xdr:row>124</xdr:row>
      <xdr:rowOff>85725</xdr:rowOff>
    </xdr:to>
    <xdr:pic macro="[0]!ShowHidePerpetuityCalculationequity">
      <xdr:nvPicPr>
        <xdr:cNvPr id="22" name="btnPerpetuityEquity" descr="rspec2b" hidden="1">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12430125"/>
          <a:ext cx="152400" cy="142875"/>
        </a:xfrm>
        <a:prstGeom prst="rect">
          <a:avLst/>
        </a:prstGeom>
        <a:noFill/>
        <a:ln w="9525">
          <a:noFill/>
          <a:miter lim="800000"/>
          <a:headEnd/>
          <a:tailEnd/>
        </a:ln>
      </xdr:spPr>
    </xdr:pic>
    <xdr:clientData fPrintsWithSheet="0"/>
  </xdr:twoCellAnchor>
  <xdr:twoCellAnchor editAs="oneCell">
    <xdr:from>
      <xdr:col>2</xdr:col>
      <xdr:colOff>41275</xdr:colOff>
      <xdr:row>5</xdr:row>
      <xdr:rowOff>38100</xdr:rowOff>
    </xdr:from>
    <xdr:to>
      <xdr:col>2</xdr:col>
      <xdr:colOff>146050</xdr:colOff>
      <xdr:row>7</xdr:row>
      <xdr:rowOff>47625</xdr:rowOff>
    </xdr:to>
    <xdr:pic macro="[0]!ToggleResultFirmIndicators">
      <xdr:nvPicPr>
        <xdr:cNvPr id="23" name="btnToggleFirm" hidden="1">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46100" y="762000"/>
          <a:ext cx="104775" cy="104775"/>
        </a:xfrm>
        <a:prstGeom prst="rect">
          <a:avLst/>
        </a:prstGeom>
        <a:noFill/>
        <a:ln w="9525">
          <a:noFill/>
          <a:miter lim="800000"/>
          <a:headEnd/>
          <a:tailEnd/>
        </a:ln>
      </xdr:spPr>
    </xdr:pic>
    <xdr:clientData fPrintsWithSheet="0"/>
  </xdr:twoCellAnchor>
  <xdr:twoCellAnchor editAs="oneCell">
    <xdr:from>
      <xdr:col>2</xdr:col>
      <xdr:colOff>28575</xdr:colOff>
      <xdr:row>82</xdr:row>
      <xdr:rowOff>9525</xdr:rowOff>
    </xdr:from>
    <xdr:to>
      <xdr:col>3</xdr:col>
      <xdr:colOff>0</xdr:colOff>
      <xdr:row>124</xdr:row>
      <xdr:rowOff>31750</xdr:rowOff>
    </xdr:to>
    <xdr:pic macro="[0]!UpdateDcvaIrrMirr">
      <xdr:nvPicPr>
        <xdr:cNvPr id="24" name="DcvaIrrMirrBtn" hidden="1">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33400" y="10791825"/>
          <a:ext cx="152400" cy="146050"/>
        </a:xfrm>
        <a:prstGeom prst="rect">
          <a:avLst/>
        </a:prstGeom>
        <a:noFill/>
        <a:ln w="1">
          <a:noFill/>
          <a:miter lim="800000"/>
          <a:headEnd/>
          <a:tailEnd/>
        </a:ln>
        <a:effectLst/>
      </xdr:spPr>
    </xdr:pic>
    <xdr:clientData fPrintsWithSheet="0"/>
  </xdr:twoCellAnchor>
  <xdr:twoCellAnchor editAs="oneCell">
    <xdr:from>
      <xdr:col>2</xdr:col>
      <xdr:colOff>28575</xdr:colOff>
      <xdr:row>80</xdr:row>
      <xdr:rowOff>9525</xdr:rowOff>
    </xdr:from>
    <xdr:to>
      <xdr:col>3</xdr:col>
      <xdr:colOff>0</xdr:colOff>
      <xdr:row>80</xdr:row>
      <xdr:rowOff>152400</xdr:rowOff>
    </xdr:to>
    <xdr:pic macro="[0]!ToggleDCVAbasedRatios">
      <xdr:nvPicPr>
        <xdr:cNvPr id="25" name="btnDCVAbasedRatios">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33400" y="5038725"/>
          <a:ext cx="152400" cy="142875"/>
        </a:xfrm>
        <a:prstGeom prst="rect">
          <a:avLst/>
        </a:prstGeom>
        <a:noFill/>
        <a:ln w="1">
          <a:noFill/>
          <a:miter lim="800000"/>
          <a:headEnd/>
          <a:tailEnd/>
        </a:ln>
        <a:effectLst/>
      </xdr:spPr>
    </xdr:pic>
    <xdr:clientData fPrintsWithSheet="0"/>
  </xdr:twoCellAnchor>
  <xdr:twoCellAnchor>
    <xdr:from>
      <xdr:col>1</xdr:col>
      <xdr:colOff>57149</xdr:colOff>
      <xdr:row>1</xdr:row>
      <xdr:rowOff>47625</xdr:rowOff>
    </xdr:from>
    <xdr:to>
      <xdr:col>11</xdr:col>
      <xdr:colOff>9524</xdr:colOff>
      <xdr:row>126</xdr:row>
      <xdr:rowOff>47625</xdr:rowOff>
    </xdr:to>
    <xdr:graphicFrame macro="">
      <xdr:nvGraphicFramePr>
        <xdr:cNvPr id="28" name="ChartYearlyPayback" hidden="1">
          <a:extLst>
            <a:ext uri="{FF2B5EF4-FFF2-40B4-BE49-F238E27FC236}">
              <a16:creationId xmlns:a16="http://schemas.microsoft.com/office/drawing/2014/main" id="{00000000-0008-0000-03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0</xdr:col>
      <xdr:colOff>47625</xdr:colOff>
      <xdr:row>32</xdr:row>
      <xdr:rowOff>142875</xdr:rowOff>
    </xdr:from>
    <xdr:to>
      <xdr:col>0</xdr:col>
      <xdr:colOff>409575</xdr:colOff>
      <xdr:row>35</xdr:row>
      <xdr:rowOff>28575</xdr:rowOff>
    </xdr:to>
    <xdr:pic macro="[0]!CameraButtonPressed">
      <xdr:nvPicPr>
        <xdr:cNvPr id="29" name="btnCamResultTableFull" descr="CameraBtn.bmp">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5" cstate="print"/>
        <a:stretch>
          <a:fillRect/>
        </a:stretch>
      </xdr:blipFill>
      <xdr:spPr>
        <a:xfrm>
          <a:off x="47625" y="2171700"/>
          <a:ext cx="361950" cy="266700"/>
        </a:xfrm>
        <a:prstGeom prst="rect">
          <a:avLst/>
        </a:prstGeom>
      </xdr:spPr>
    </xdr:pic>
    <xdr:clientData fPrintsWithSheet="0"/>
  </xdr:twoCellAnchor>
  <xdr:twoCellAnchor editAs="absolute">
    <xdr:from>
      <xdr:col>0</xdr:col>
      <xdr:colOff>47625</xdr:colOff>
      <xdr:row>2</xdr:row>
      <xdr:rowOff>2405</xdr:rowOff>
    </xdr:from>
    <xdr:to>
      <xdr:col>0</xdr:col>
      <xdr:colOff>406586</xdr:colOff>
      <xdr:row>4</xdr:row>
      <xdr:rowOff>57168</xdr:rowOff>
    </xdr:to>
    <xdr:pic macro="[0]!AutoVBA.PrintCurrent">
      <xdr:nvPicPr>
        <xdr:cNvPr id="30" name="PrintBtn10" descr="printbtn37.bmp">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6" cstate="print"/>
        <a:stretch>
          <a:fillRect/>
        </a:stretch>
      </xdr:blipFill>
      <xdr:spPr>
        <a:xfrm>
          <a:off x="47625" y="288155"/>
          <a:ext cx="358961" cy="264313"/>
        </a:xfrm>
        <a:prstGeom prst="rect">
          <a:avLst/>
        </a:prstGeom>
      </xdr:spPr>
    </xdr:pic>
    <xdr:clientData fPrintsWithSheet="0"/>
  </xdr:twoCellAnchor>
  <xdr:twoCellAnchor editAs="absolute">
    <xdr:from>
      <xdr:col>0</xdr:col>
      <xdr:colOff>47625</xdr:colOff>
      <xdr:row>4</xdr:row>
      <xdr:rowOff>104775</xdr:rowOff>
    </xdr:from>
    <xdr:to>
      <xdr:col>0</xdr:col>
      <xdr:colOff>406586</xdr:colOff>
      <xdr:row>7</xdr:row>
      <xdr:rowOff>83523</xdr:rowOff>
    </xdr:to>
    <xdr:pic macro="[0]!GotoKeyFiguresOrCashflowTable">
      <xdr:nvPicPr>
        <xdr:cNvPr id="31" name="PrevBtn10" descr="prevbtn37c.bmp">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7" cstate="print"/>
        <a:stretch>
          <a:fillRect/>
        </a:stretch>
      </xdr:blipFill>
      <xdr:spPr>
        <a:xfrm>
          <a:off x="47625" y="600075"/>
          <a:ext cx="358961" cy="264498"/>
        </a:xfrm>
        <a:prstGeom prst="rect">
          <a:avLst/>
        </a:prstGeom>
      </xdr:spPr>
    </xdr:pic>
    <xdr:clientData fPrintsWithSheet="0"/>
  </xdr:twoCellAnchor>
  <xdr:twoCellAnchor editAs="absolute">
    <xdr:from>
      <xdr:col>0</xdr:col>
      <xdr:colOff>47625</xdr:colOff>
      <xdr:row>7</xdr:row>
      <xdr:rowOff>133351</xdr:rowOff>
    </xdr:from>
    <xdr:to>
      <xdr:col>0</xdr:col>
      <xdr:colOff>406586</xdr:colOff>
      <xdr:row>9</xdr:row>
      <xdr:rowOff>73999</xdr:rowOff>
    </xdr:to>
    <xdr:pic macro="[0]!AutoVBA.GotoDiscAnalysis">
      <xdr:nvPicPr>
        <xdr:cNvPr id="32" name="NextBtn10" descr="nextbtn37c.bmp">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8" cstate="print"/>
        <a:stretch>
          <a:fillRect/>
        </a:stretch>
      </xdr:blipFill>
      <xdr:spPr>
        <a:xfrm>
          <a:off x="47625" y="914401"/>
          <a:ext cx="358961" cy="264498"/>
        </a:xfrm>
        <a:prstGeom prst="rect">
          <a:avLst/>
        </a:prstGeom>
      </xdr:spPr>
    </xdr:pic>
    <xdr:clientData fPrintsWithSheet="0"/>
  </xdr:twoCellAnchor>
  <xdr:twoCellAnchor editAs="absolute">
    <xdr:from>
      <xdr:col>0</xdr:col>
      <xdr:colOff>47625</xdr:colOff>
      <xdr:row>9</xdr:row>
      <xdr:rowOff>126206</xdr:rowOff>
    </xdr:from>
    <xdr:to>
      <xdr:col>0</xdr:col>
      <xdr:colOff>406586</xdr:colOff>
      <xdr:row>12</xdr:row>
      <xdr:rowOff>9704</xdr:rowOff>
    </xdr:to>
    <xdr:pic macro="[0]!GoHome">
      <xdr:nvPicPr>
        <xdr:cNvPr id="33" name="HomeBtn10" descr="homebtn37b.bmp">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9" cstate="print"/>
        <a:stretch>
          <a:fillRect/>
        </a:stretch>
      </xdr:blipFill>
      <xdr:spPr>
        <a:xfrm>
          <a:off x="47625" y="1231106"/>
          <a:ext cx="358961" cy="264498"/>
        </a:xfrm>
        <a:prstGeom prst="rect">
          <a:avLst/>
        </a:prstGeom>
      </xdr:spPr>
    </xdr:pic>
    <xdr:clientData fPrintsWithSheet="0"/>
  </xdr:twoCellAnchor>
  <xdr:twoCellAnchor editAs="absolute">
    <xdr:from>
      <xdr:col>0</xdr:col>
      <xdr:colOff>47625</xdr:colOff>
      <xdr:row>13</xdr:row>
      <xdr:rowOff>1</xdr:rowOff>
    </xdr:from>
    <xdr:to>
      <xdr:col>0</xdr:col>
      <xdr:colOff>406586</xdr:colOff>
      <xdr:row>14</xdr:row>
      <xdr:rowOff>102574</xdr:rowOff>
    </xdr:to>
    <xdr:pic macro="[0]!ShowGuide">
      <xdr:nvPicPr>
        <xdr:cNvPr id="34" name="HelpBtn10" descr="helpbtn37c.bmp">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0" cstate="print"/>
        <a:stretch>
          <a:fillRect/>
        </a:stretch>
      </xdr:blipFill>
      <xdr:spPr>
        <a:xfrm>
          <a:off x="47625" y="1543051"/>
          <a:ext cx="358961" cy="264498"/>
        </a:xfrm>
        <a:prstGeom prst="rect">
          <a:avLst/>
        </a:prstGeom>
      </xdr:spPr>
    </xdr:pic>
    <xdr:clientData fPrintsWithSheet="0"/>
  </xdr:twoCellAnchor>
  <xdr:twoCellAnchor editAs="absolute">
    <xdr:from>
      <xdr:col>0</xdr:col>
      <xdr:colOff>47625</xdr:colOff>
      <xdr:row>14</xdr:row>
      <xdr:rowOff>154781</xdr:rowOff>
    </xdr:from>
    <xdr:to>
      <xdr:col>0</xdr:col>
      <xdr:colOff>408099</xdr:colOff>
      <xdr:row>32</xdr:row>
      <xdr:rowOff>96544</xdr:rowOff>
    </xdr:to>
    <xdr:pic macro="[0]!ShowPayBackChart">
      <xdr:nvPicPr>
        <xdr:cNvPr id="36" name="CFChartBtn" descr="cfchart37b.bmp">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1" cstate="print"/>
        <a:stretch>
          <a:fillRect/>
        </a:stretch>
      </xdr:blipFill>
      <xdr:spPr>
        <a:xfrm>
          <a:off x="47625" y="1859756"/>
          <a:ext cx="360474" cy="265613"/>
        </a:xfrm>
        <a:prstGeom prst="rect">
          <a:avLst/>
        </a:prstGeom>
      </xdr:spPr>
    </xdr:pic>
    <xdr:clientData fPrintsWithSheet="0"/>
  </xdr:twoCellAnchor>
  <xdr:twoCellAnchor editAs="oneCell">
    <xdr:from>
      <xdr:col>10</xdr:col>
      <xdr:colOff>0</xdr:colOff>
      <xdr:row>2</xdr:row>
      <xdr:rowOff>28575</xdr:rowOff>
    </xdr:from>
    <xdr:to>
      <xdr:col>11</xdr:col>
      <xdr:colOff>0</xdr:colOff>
      <xdr:row>3</xdr:row>
      <xdr:rowOff>9525</xdr:rowOff>
    </xdr:to>
    <xdr:pic macro="[0]!HidePayBackChart">
      <xdr:nvPicPr>
        <xdr:cNvPr id="27" name="btnClosePB" descr="xbtn" hidden="1">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7353300" y="314325"/>
          <a:ext cx="180975" cy="17145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3</xdr:col>
          <xdr:colOff>0</xdr:colOff>
          <xdr:row>128</xdr:row>
          <xdr:rowOff>44450</xdr:rowOff>
        </xdr:from>
        <xdr:to>
          <xdr:col>4</xdr:col>
          <xdr:colOff>57150</xdr:colOff>
          <xdr:row>130</xdr:row>
          <xdr:rowOff>19050</xdr:rowOff>
        </xdr:to>
        <xdr:sp macro="" textlink="">
          <xdr:nvSpPr>
            <xdr:cNvPr id="3073" name="chkShowConclusions"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16</xdr:row>
          <xdr:rowOff>0</xdr:rowOff>
        </xdr:from>
        <xdr:to>
          <xdr:col>5</xdr:col>
          <xdr:colOff>0</xdr:colOff>
          <xdr:row>33</xdr:row>
          <xdr:rowOff>50800</xdr:rowOff>
        </xdr:to>
        <xdr:sp macro="" textlink="">
          <xdr:nvSpPr>
            <xdr:cNvPr id="3074" name="cboPerpetuityBasePeriod"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4</xdr:col>
          <xdr:colOff>190500</xdr:colOff>
          <xdr:row>34</xdr:row>
          <xdr:rowOff>0</xdr:rowOff>
        </xdr:to>
        <xdr:sp macro="" textlink="">
          <xdr:nvSpPr>
            <xdr:cNvPr id="3075" name="optPerpetuityBase1"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4</xdr:col>
          <xdr:colOff>196850</xdr:colOff>
          <xdr:row>34</xdr:row>
          <xdr:rowOff>0</xdr:rowOff>
        </xdr:to>
        <xdr:sp macro="" textlink="">
          <xdr:nvSpPr>
            <xdr:cNvPr id="3076" name="optPerpetuityBase2"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4</xdr:col>
          <xdr:colOff>177800</xdr:colOff>
          <xdr:row>34</xdr:row>
          <xdr:rowOff>0</xdr:rowOff>
        </xdr:to>
        <xdr:sp macro="" textlink="">
          <xdr:nvSpPr>
            <xdr:cNvPr id="3077" name="optPerpetuityNoGrowth"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4</xdr:col>
          <xdr:colOff>171450</xdr:colOff>
          <xdr:row>34</xdr:row>
          <xdr:rowOff>0</xdr:rowOff>
        </xdr:to>
        <xdr:sp macro="" textlink="">
          <xdr:nvSpPr>
            <xdr:cNvPr id="3078" name="optPerpetuityGrowth"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6</xdr:col>
          <xdr:colOff>38100</xdr:colOff>
          <xdr:row>50</xdr:row>
          <xdr:rowOff>57150</xdr:rowOff>
        </xdr:to>
        <xdr:sp macro="" textlink="">
          <xdr:nvSpPr>
            <xdr:cNvPr id="3079" name="grpPerpetuityBase"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6350</xdr:rowOff>
        </xdr:from>
        <xdr:to>
          <xdr:col>6</xdr:col>
          <xdr:colOff>38100</xdr:colOff>
          <xdr:row>50</xdr:row>
          <xdr:rowOff>57150</xdr:rowOff>
        </xdr:to>
        <xdr:sp macro="" textlink="">
          <xdr:nvSpPr>
            <xdr:cNvPr id="3080" name="grpPerpetuityType"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90</xdr:row>
          <xdr:rowOff>0</xdr:rowOff>
        </xdr:from>
        <xdr:to>
          <xdr:col>5</xdr:col>
          <xdr:colOff>0</xdr:colOff>
          <xdr:row>124</xdr:row>
          <xdr:rowOff>146050</xdr:rowOff>
        </xdr:to>
        <xdr:sp macro="" textlink="">
          <xdr:nvSpPr>
            <xdr:cNvPr id="3081" name="cboPerpetuityBasePeriodEquity"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0</xdr:rowOff>
        </xdr:from>
        <xdr:to>
          <xdr:col>4</xdr:col>
          <xdr:colOff>190500</xdr:colOff>
          <xdr:row>125</xdr:row>
          <xdr:rowOff>0</xdr:rowOff>
        </xdr:to>
        <xdr:sp macro="" textlink="">
          <xdr:nvSpPr>
            <xdr:cNvPr id="3082" name="optPerpetuityBase1Equity"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0</xdr:rowOff>
        </xdr:from>
        <xdr:to>
          <xdr:col>4</xdr:col>
          <xdr:colOff>196850</xdr:colOff>
          <xdr:row>125</xdr:row>
          <xdr:rowOff>0</xdr:rowOff>
        </xdr:to>
        <xdr:sp macro="" textlink="">
          <xdr:nvSpPr>
            <xdr:cNvPr id="3083" name="optPerpetuityBase2Equity"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4</xdr:col>
          <xdr:colOff>177800</xdr:colOff>
          <xdr:row>125</xdr:row>
          <xdr:rowOff>0</xdr:rowOff>
        </xdr:to>
        <xdr:sp macro="" textlink="">
          <xdr:nvSpPr>
            <xdr:cNvPr id="3084" name="optPerpetuityNoGrowthEquity"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4</xdr:col>
          <xdr:colOff>171450</xdr:colOff>
          <xdr:row>125</xdr:row>
          <xdr:rowOff>0</xdr:rowOff>
        </xdr:to>
        <xdr:sp macro="" textlink="">
          <xdr:nvSpPr>
            <xdr:cNvPr id="3085" name="optPerpetuityGrowthEquity"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96</xdr:row>
          <xdr:rowOff>0</xdr:rowOff>
        </xdr:from>
        <xdr:to>
          <xdr:col>6</xdr:col>
          <xdr:colOff>38100</xdr:colOff>
          <xdr:row>129</xdr:row>
          <xdr:rowOff>63500</xdr:rowOff>
        </xdr:to>
        <xdr:sp macro="" textlink="">
          <xdr:nvSpPr>
            <xdr:cNvPr id="3086" name="grpPerpetuityBaseEquity"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103</xdr:row>
          <xdr:rowOff>6350</xdr:rowOff>
        </xdr:from>
        <xdr:to>
          <xdr:col>6</xdr:col>
          <xdr:colOff>38100</xdr:colOff>
          <xdr:row>129</xdr:row>
          <xdr:rowOff>63500</xdr:rowOff>
        </xdr:to>
        <xdr:sp macro="" textlink="">
          <xdr:nvSpPr>
            <xdr:cNvPr id="3087" name="grpPerpetuityTypeEquity"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33</xdr:row>
          <xdr:rowOff>50800</xdr:rowOff>
        </xdr:to>
        <xdr:sp macro="" textlink="">
          <xdr:nvSpPr>
            <xdr:cNvPr id="3088" name="PerpetuityLimitDD"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90</xdr:row>
          <xdr:rowOff>0</xdr:rowOff>
        </xdr:from>
        <xdr:to>
          <xdr:col>10</xdr:col>
          <xdr:colOff>0</xdr:colOff>
          <xdr:row>124</xdr:row>
          <xdr:rowOff>146050</xdr:rowOff>
        </xdr:to>
        <xdr:sp macro="" textlink="">
          <xdr:nvSpPr>
            <xdr:cNvPr id="3089" name="PerpetuityLimitDDEquity" hidden="1">
              <a:extLst>
                <a:ext uri="{63B3BB69-23CF-44E3-9099-C40C66FF867C}">
                  <a14:compatExt spid="_x0000_s3089"/>
                </a:ext>
                <a:ext uri="{FF2B5EF4-FFF2-40B4-BE49-F238E27FC236}">
                  <a16:creationId xmlns:a16="http://schemas.microsoft.com/office/drawing/2014/main" id="{00000000-0008-0000-03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44450</xdr:colOff>
          <xdr:row>48</xdr:row>
          <xdr:rowOff>6350</xdr:rowOff>
        </xdr:from>
        <xdr:to>
          <xdr:col>9</xdr:col>
          <xdr:colOff>558800</xdr:colOff>
          <xdr:row>51</xdr:row>
          <xdr:rowOff>25400</xdr:rowOff>
        </xdr:to>
        <xdr:sp macro="" textlink="">
          <xdr:nvSpPr>
            <xdr:cNvPr id="3090" name="cboEVEbitda" hidden="1">
              <a:extLst>
                <a:ext uri="{63B3BB69-23CF-44E3-9099-C40C66FF867C}">
                  <a14:compatExt spid="_x0000_s3090"/>
                </a:ext>
                <a:ext uri="{FF2B5EF4-FFF2-40B4-BE49-F238E27FC236}">
                  <a16:creationId xmlns:a16="http://schemas.microsoft.com/office/drawing/2014/main" id="{00000000-0008-0000-03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0</xdr:colOff>
      <xdr:row>18</xdr:row>
      <xdr:rowOff>0</xdr:rowOff>
    </xdr:from>
    <xdr:to>
      <xdr:col>10</xdr:col>
      <xdr:colOff>0</xdr:colOff>
      <xdr:row>32</xdr:row>
      <xdr:rowOff>0</xdr:rowOff>
    </xdr:to>
    <xdr:graphicFrame macro="">
      <xdr:nvGraphicFramePr>
        <xdr:cNvPr id="44" name="ChartA06">
          <a:extLst>
            <a:ext uri="{FF2B5EF4-FFF2-40B4-BE49-F238E27FC236}">
              <a16:creationId xmlns:a16="http://schemas.microsoft.com/office/drawing/2014/main" id="{00000000-0008-0000-04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63</xdr:row>
      <xdr:rowOff>0</xdr:rowOff>
    </xdr:from>
    <xdr:to>
      <xdr:col>10</xdr:col>
      <xdr:colOff>0</xdr:colOff>
      <xdr:row>77</xdr:row>
      <xdr:rowOff>0</xdr:rowOff>
    </xdr:to>
    <xdr:graphicFrame macro="">
      <xdr:nvGraphicFramePr>
        <xdr:cNvPr id="45" name="ChartA01">
          <a:extLst>
            <a:ext uri="{FF2B5EF4-FFF2-40B4-BE49-F238E27FC236}">
              <a16:creationId xmlns:a16="http://schemas.microsoft.com/office/drawing/2014/main" id="{00000000-0008-0000-04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107</xdr:row>
      <xdr:rowOff>0</xdr:rowOff>
    </xdr:from>
    <xdr:to>
      <xdr:col>10</xdr:col>
      <xdr:colOff>0</xdr:colOff>
      <xdr:row>121</xdr:row>
      <xdr:rowOff>0</xdr:rowOff>
    </xdr:to>
    <xdr:graphicFrame macro="">
      <xdr:nvGraphicFramePr>
        <xdr:cNvPr id="46" name="ChartA02">
          <a:extLst>
            <a:ext uri="{FF2B5EF4-FFF2-40B4-BE49-F238E27FC236}">
              <a16:creationId xmlns:a16="http://schemas.microsoft.com/office/drawing/2014/main" id="{00000000-0008-0000-04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151</xdr:row>
      <xdr:rowOff>0</xdr:rowOff>
    </xdr:from>
    <xdr:to>
      <xdr:col>10</xdr:col>
      <xdr:colOff>0</xdr:colOff>
      <xdr:row>165</xdr:row>
      <xdr:rowOff>0</xdr:rowOff>
    </xdr:to>
    <xdr:graphicFrame macro="">
      <xdr:nvGraphicFramePr>
        <xdr:cNvPr id="47" name="ChartA03">
          <a:extLst>
            <a:ext uri="{FF2B5EF4-FFF2-40B4-BE49-F238E27FC236}">
              <a16:creationId xmlns:a16="http://schemas.microsoft.com/office/drawing/2014/main" id="{00000000-0008-0000-04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195</xdr:row>
      <xdr:rowOff>0</xdr:rowOff>
    </xdr:from>
    <xdr:to>
      <xdr:col>10</xdr:col>
      <xdr:colOff>0</xdr:colOff>
      <xdr:row>209</xdr:row>
      <xdr:rowOff>0</xdr:rowOff>
    </xdr:to>
    <xdr:graphicFrame macro="">
      <xdr:nvGraphicFramePr>
        <xdr:cNvPr id="48" name="ChartA04">
          <a:extLst>
            <a:ext uri="{FF2B5EF4-FFF2-40B4-BE49-F238E27FC236}">
              <a16:creationId xmlns:a16="http://schemas.microsoft.com/office/drawing/2014/main" id="{00000000-0008-0000-04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241</xdr:row>
      <xdr:rowOff>0</xdr:rowOff>
    </xdr:from>
    <xdr:to>
      <xdr:col>10</xdr:col>
      <xdr:colOff>0</xdr:colOff>
      <xdr:row>255</xdr:row>
      <xdr:rowOff>0</xdr:rowOff>
    </xdr:to>
    <xdr:graphicFrame macro="">
      <xdr:nvGraphicFramePr>
        <xdr:cNvPr id="49" name="ChartA05">
          <a:extLst>
            <a:ext uri="{FF2B5EF4-FFF2-40B4-BE49-F238E27FC236}">
              <a16:creationId xmlns:a16="http://schemas.microsoft.com/office/drawing/2014/main" id="{00000000-0008-0000-04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42864</xdr:colOff>
      <xdr:row>243</xdr:row>
      <xdr:rowOff>95250</xdr:rowOff>
    </xdr:from>
    <xdr:to>
      <xdr:col>0</xdr:col>
      <xdr:colOff>404814</xdr:colOff>
      <xdr:row>245</xdr:row>
      <xdr:rowOff>38100</xdr:rowOff>
    </xdr:to>
    <xdr:pic macro="[0]!CameraButtonPressed">
      <xdr:nvPicPr>
        <xdr:cNvPr id="52" name="btnCamIncVarAnalysis1" descr="CameraBtn.bmp">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7" cstate="print"/>
        <a:stretch>
          <a:fillRect/>
        </a:stretch>
      </xdr:blipFill>
      <xdr:spPr>
        <a:xfrm>
          <a:off x="42864" y="25884909"/>
          <a:ext cx="361950" cy="260350"/>
        </a:xfrm>
        <a:prstGeom prst="rect">
          <a:avLst/>
        </a:prstGeom>
      </xdr:spPr>
    </xdr:pic>
    <xdr:clientData fPrintsWithSheet="0"/>
  </xdr:twoCellAnchor>
  <xdr:twoCellAnchor editAs="oneCell">
    <xdr:from>
      <xdr:col>0</xdr:col>
      <xdr:colOff>42864</xdr:colOff>
      <xdr:row>200</xdr:row>
      <xdr:rowOff>9525</xdr:rowOff>
    </xdr:from>
    <xdr:to>
      <xdr:col>0</xdr:col>
      <xdr:colOff>404814</xdr:colOff>
      <xdr:row>201</xdr:row>
      <xdr:rowOff>114300</xdr:rowOff>
    </xdr:to>
    <xdr:pic macro="[0]!CameraButtonPressed">
      <xdr:nvPicPr>
        <xdr:cNvPr id="53" name="btnCamFixedCostAnalysis" descr="CameraBtn.bmp">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7" cstate="print"/>
        <a:stretch>
          <a:fillRect/>
        </a:stretch>
      </xdr:blipFill>
      <xdr:spPr>
        <a:xfrm>
          <a:off x="42864" y="21094411"/>
          <a:ext cx="361950" cy="263525"/>
        </a:xfrm>
        <a:prstGeom prst="rect">
          <a:avLst/>
        </a:prstGeom>
      </xdr:spPr>
    </xdr:pic>
    <xdr:clientData fPrintsWithSheet="0"/>
  </xdr:twoCellAnchor>
  <xdr:twoCellAnchor editAs="oneCell">
    <xdr:from>
      <xdr:col>0</xdr:col>
      <xdr:colOff>42864</xdr:colOff>
      <xdr:row>155</xdr:row>
      <xdr:rowOff>142875</xdr:rowOff>
    </xdr:from>
    <xdr:to>
      <xdr:col>0</xdr:col>
      <xdr:colOff>404814</xdr:colOff>
      <xdr:row>157</xdr:row>
      <xdr:rowOff>85725</xdr:rowOff>
    </xdr:to>
    <xdr:pic macro="[0]!CameraButtonPressed">
      <xdr:nvPicPr>
        <xdr:cNvPr id="54" name="btnCamVariableCostAnalysis" descr="CameraBtn.bmp">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7" cstate="print"/>
        <a:stretch>
          <a:fillRect/>
        </a:stretch>
      </xdr:blipFill>
      <xdr:spPr>
        <a:xfrm>
          <a:off x="42864" y="16292080"/>
          <a:ext cx="361950" cy="260350"/>
        </a:xfrm>
        <a:prstGeom prst="rect">
          <a:avLst/>
        </a:prstGeom>
      </xdr:spPr>
    </xdr:pic>
    <xdr:clientData fPrintsWithSheet="0"/>
  </xdr:twoCellAnchor>
  <xdr:twoCellAnchor editAs="oneCell">
    <xdr:from>
      <xdr:col>0</xdr:col>
      <xdr:colOff>42864</xdr:colOff>
      <xdr:row>111</xdr:row>
      <xdr:rowOff>142875</xdr:rowOff>
    </xdr:from>
    <xdr:to>
      <xdr:col>0</xdr:col>
      <xdr:colOff>404814</xdr:colOff>
      <xdr:row>113</xdr:row>
      <xdr:rowOff>85725</xdr:rowOff>
    </xdr:to>
    <xdr:pic macro="[0]!CameraButtonPressed">
      <xdr:nvPicPr>
        <xdr:cNvPr id="55" name="btnCamTurnoverAnalysis" descr="CameraBtn.bmp">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7" cstate="print"/>
        <a:stretch>
          <a:fillRect/>
        </a:stretch>
      </xdr:blipFill>
      <xdr:spPr>
        <a:xfrm>
          <a:off x="42864" y="11515148"/>
          <a:ext cx="361950" cy="260350"/>
        </a:xfrm>
        <a:prstGeom prst="rect">
          <a:avLst/>
        </a:prstGeom>
      </xdr:spPr>
    </xdr:pic>
    <xdr:clientData fPrintsWithSheet="0"/>
  </xdr:twoCellAnchor>
  <xdr:twoCellAnchor editAs="oneCell">
    <xdr:from>
      <xdr:col>0</xdr:col>
      <xdr:colOff>42864</xdr:colOff>
      <xdr:row>66</xdr:row>
      <xdr:rowOff>152400</xdr:rowOff>
    </xdr:from>
    <xdr:to>
      <xdr:col>0</xdr:col>
      <xdr:colOff>404814</xdr:colOff>
      <xdr:row>68</xdr:row>
      <xdr:rowOff>95250</xdr:rowOff>
    </xdr:to>
    <xdr:pic macro="[0]!CameraButtonPressed">
      <xdr:nvPicPr>
        <xdr:cNvPr id="56" name="btnCamInvestmentAnalysis" descr="CameraBtn.bmp">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7" cstate="print"/>
        <a:stretch>
          <a:fillRect/>
        </a:stretch>
      </xdr:blipFill>
      <xdr:spPr>
        <a:xfrm>
          <a:off x="42864" y="6588991"/>
          <a:ext cx="361950" cy="260350"/>
        </a:xfrm>
        <a:prstGeom prst="rect">
          <a:avLst/>
        </a:prstGeom>
      </xdr:spPr>
    </xdr:pic>
    <xdr:clientData fPrintsWithSheet="0"/>
  </xdr:twoCellAnchor>
  <xdr:twoCellAnchor editAs="absolute">
    <xdr:from>
      <xdr:col>0</xdr:col>
      <xdr:colOff>42864</xdr:colOff>
      <xdr:row>21</xdr:row>
      <xdr:rowOff>152400</xdr:rowOff>
    </xdr:from>
    <xdr:to>
      <xdr:col>0</xdr:col>
      <xdr:colOff>404814</xdr:colOff>
      <xdr:row>23</xdr:row>
      <xdr:rowOff>95250</xdr:rowOff>
    </xdr:to>
    <xdr:pic macro="[0]!CameraButtonPressed">
      <xdr:nvPicPr>
        <xdr:cNvPr id="57" name="btnCamDiscAnalysis" descr="CameraBtn.bmp">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7" cstate="print"/>
        <a:stretch>
          <a:fillRect/>
        </a:stretch>
      </xdr:blipFill>
      <xdr:spPr>
        <a:xfrm>
          <a:off x="42864" y="1667741"/>
          <a:ext cx="361950" cy="260350"/>
        </a:xfrm>
        <a:prstGeom prst="rect">
          <a:avLst/>
        </a:prstGeom>
      </xdr:spPr>
    </xdr:pic>
    <xdr:clientData fPrintsWithSheet="0"/>
  </xdr:twoCellAnchor>
  <xdr:twoCellAnchor>
    <xdr:from>
      <xdr:col>3</xdr:col>
      <xdr:colOff>0</xdr:colOff>
      <xdr:row>287</xdr:row>
      <xdr:rowOff>0</xdr:rowOff>
    </xdr:from>
    <xdr:to>
      <xdr:col>10</xdr:col>
      <xdr:colOff>0</xdr:colOff>
      <xdr:row>301</xdr:row>
      <xdr:rowOff>0</xdr:rowOff>
    </xdr:to>
    <xdr:graphicFrame macro="">
      <xdr:nvGraphicFramePr>
        <xdr:cNvPr id="65" name="ChartA07">
          <a:extLst>
            <a:ext uri="{FF2B5EF4-FFF2-40B4-BE49-F238E27FC236}">
              <a16:creationId xmlns:a16="http://schemas.microsoft.com/office/drawing/2014/main" id="{00000000-0008-0000-04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333</xdr:row>
      <xdr:rowOff>0</xdr:rowOff>
    </xdr:from>
    <xdr:to>
      <xdr:col>10</xdr:col>
      <xdr:colOff>0</xdr:colOff>
      <xdr:row>347</xdr:row>
      <xdr:rowOff>0</xdr:rowOff>
    </xdr:to>
    <xdr:graphicFrame macro="">
      <xdr:nvGraphicFramePr>
        <xdr:cNvPr id="67" name="ChartA08">
          <a:extLst>
            <a:ext uri="{FF2B5EF4-FFF2-40B4-BE49-F238E27FC236}">
              <a16:creationId xmlns:a16="http://schemas.microsoft.com/office/drawing/2014/main" id="{00000000-0008-0000-04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379</xdr:row>
      <xdr:rowOff>0</xdr:rowOff>
    </xdr:from>
    <xdr:to>
      <xdr:col>10</xdr:col>
      <xdr:colOff>0</xdr:colOff>
      <xdr:row>393</xdr:row>
      <xdr:rowOff>0</xdr:rowOff>
    </xdr:to>
    <xdr:graphicFrame macro="">
      <xdr:nvGraphicFramePr>
        <xdr:cNvPr id="69" name="ChartA09">
          <a:extLst>
            <a:ext uri="{FF2B5EF4-FFF2-40B4-BE49-F238E27FC236}">
              <a16:creationId xmlns:a16="http://schemas.microsoft.com/office/drawing/2014/main" id="{00000000-0008-0000-0400-00004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425</xdr:row>
      <xdr:rowOff>0</xdr:rowOff>
    </xdr:from>
    <xdr:to>
      <xdr:col>10</xdr:col>
      <xdr:colOff>0</xdr:colOff>
      <xdr:row>439</xdr:row>
      <xdr:rowOff>0</xdr:rowOff>
    </xdr:to>
    <xdr:graphicFrame macro="">
      <xdr:nvGraphicFramePr>
        <xdr:cNvPr id="71" name="ChartA10">
          <a:extLst>
            <a:ext uri="{FF2B5EF4-FFF2-40B4-BE49-F238E27FC236}">
              <a16:creationId xmlns:a16="http://schemas.microsoft.com/office/drawing/2014/main" id="{00000000-0008-0000-0400-00004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471</xdr:row>
      <xdr:rowOff>0</xdr:rowOff>
    </xdr:from>
    <xdr:to>
      <xdr:col>10</xdr:col>
      <xdr:colOff>0</xdr:colOff>
      <xdr:row>485</xdr:row>
      <xdr:rowOff>0</xdr:rowOff>
    </xdr:to>
    <xdr:graphicFrame macro="">
      <xdr:nvGraphicFramePr>
        <xdr:cNvPr id="73" name="ChartA11">
          <a:extLst>
            <a:ext uri="{FF2B5EF4-FFF2-40B4-BE49-F238E27FC236}">
              <a16:creationId xmlns:a16="http://schemas.microsoft.com/office/drawing/2014/main" id="{00000000-0008-0000-0400-00004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42864</xdr:colOff>
      <xdr:row>289</xdr:row>
      <xdr:rowOff>73025</xdr:rowOff>
    </xdr:from>
    <xdr:to>
      <xdr:col>0</xdr:col>
      <xdr:colOff>404814</xdr:colOff>
      <xdr:row>291</xdr:row>
      <xdr:rowOff>15875</xdr:rowOff>
    </xdr:to>
    <xdr:pic macro="[0]!CameraButtonPressed">
      <xdr:nvPicPr>
        <xdr:cNvPr id="75" name="btnCamIncVarAnalysis2" descr="CameraBtn.bmp">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7" cstate="print"/>
        <a:stretch>
          <a:fillRect/>
        </a:stretch>
      </xdr:blipFill>
      <xdr:spPr>
        <a:xfrm>
          <a:off x="42864" y="31072570"/>
          <a:ext cx="361950" cy="260350"/>
        </a:xfrm>
        <a:prstGeom prst="rect">
          <a:avLst/>
        </a:prstGeom>
      </xdr:spPr>
    </xdr:pic>
    <xdr:clientData fPrintsWithSheet="0"/>
  </xdr:twoCellAnchor>
  <xdr:twoCellAnchor editAs="oneCell">
    <xdr:from>
      <xdr:col>0</xdr:col>
      <xdr:colOff>42864</xdr:colOff>
      <xdr:row>335</xdr:row>
      <xdr:rowOff>99218</xdr:rowOff>
    </xdr:from>
    <xdr:to>
      <xdr:col>0</xdr:col>
      <xdr:colOff>404814</xdr:colOff>
      <xdr:row>337</xdr:row>
      <xdr:rowOff>42068</xdr:rowOff>
    </xdr:to>
    <xdr:pic macro="[0]!CameraButtonPressed">
      <xdr:nvPicPr>
        <xdr:cNvPr id="83" name="btnCamIncVarAnalysis3" descr="CameraBtn.bmp">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7" cstate="print"/>
        <a:stretch>
          <a:fillRect/>
        </a:stretch>
      </xdr:blipFill>
      <xdr:spPr>
        <a:xfrm>
          <a:off x="42864" y="36308650"/>
          <a:ext cx="361950" cy="260350"/>
        </a:xfrm>
        <a:prstGeom prst="rect">
          <a:avLst/>
        </a:prstGeom>
      </xdr:spPr>
    </xdr:pic>
    <xdr:clientData fPrintsWithSheet="0"/>
  </xdr:twoCellAnchor>
  <xdr:twoCellAnchor editAs="oneCell">
    <xdr:from>
      <xdr:col>0</xdr:col>
      <xdr:colOff>42864</xdr:colOff>
      <xdr:row>381</xdr:row>
      <xdr:rowOff>84931</xdr:rowOff>
    </xdr:from>
    <xdr:to>
      <xdr:col>0</xdr:col>
      <xdr:colOff>404814</xdr:colOff>
      <xdr:row>383</xdr:row>
      <xdr:rowOff>27781</xdr:rowOff>
    </xdr:to>
    <xdr:pic macro="[0]!CameraButtonPressed">
      <xdr:nvPicPr>
        <xdr:cNvPr id="89" name="btnCamIncVarAnalysis4" descr="CameraBtn.bmp">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7" cstate="print"/>
        <a:stretch>
          <a:fillRect/>
        </a:stretch>
      </xdr:blipFill>
      <xdr:spPr>
        <a:xfrm>
          <a:off x="42864" y="41504249"/>
          <a:ext cx="361950" cy="260350"/>
        </a:xfrm>
        <a:prstGeom prst="rect">
          <a:avLst/>
        </a:prstGeom>
      </xdr:spPr>
    </xdr:pic>
    <xdr:clientData fPrintsWithSheet="0"/>
  </xdr:twoCellAnchor>
  <xdr:twoCellAnchor editAs="oneCell">
    <xdr:from>
      <xdr:col>0</xdr:col>
      <xdr:colOff>42864</xdr:colOff>
      <xdr:row>427</xdr:row>
      <xdr:rowOff>82550</xdr:rowOff>
    </xdr:from>
    <xdr:to>
      <xdr:col>0</xdr:col>
      <xdr:colOff>404814</xdr:colOff>
      <xdr:row>429</xdr:row>
      <xdr:rowOff>25400</xdr:rowOff>
    </xdr:to>
    <xdr:pic macro="[0]!CameraButtonPressed">
      <xdr:nvPicPr>
        <xdr:cNvPr id="95" name="btnCamIncVarAnalysis5" descr="CameraBtn.bmp">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7" cstate="print"/>
        <a:stretch>
          <a:fillRect/>
        </a:stretch>
      </xdr:blipFill>
      <xdr:spPr>
        <a:xfrm>
          <a:off x="42864" y="46711755"/>
          <a:ext cx="361950" cy="260350"/>
        </a:xfrm>
        <a:prstGeom prst="rect">
          <a:avLst/>
        </a:prstGeom>
      </xdr:spPr>
    </xdr:pic>
    <xdr:clientData fPrintsWithSheet="0"/>
  </xdr:twoCellAnchor>
  <xdr:twoCellAnchor editAs="oneCell">
    <xdr:from>
      <xdr:col>0</xdr:col>
      <xdr:colOff>42864</xdr:colOff>
      <xdr:row>473</xdr:row>
      <xdr:rowOff>82550</xdr:rowOff>
    </xdr:from>
    <xdr:to>
      <xdr:col>0</xdr:col>
      <xdr:colOff>404814</xdr:colOff>
      <xdr:row>475</xdr:row>
      <xdr:rowOff>25400</xdr:rowOff>
    </xdr:to>
    <xdr:pic macro="[0]!CameraButtonPressed">
      <xdr:nvPicPr>
        <xdr:cNvPr id="101" name="btnCamIncVarAnalysis6" descr="CameraBtn.bmp">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7" cstate="print"/>
        <a:stretch>
          <a:fillRect/>
        </a:stretch>
      </xdr:blipFill>
      <xdr:spPr>
        <a:xfrm>
          <a:off x="42864" y="51921641"/>
          <a:ext cx="361950" cy="260350"/>
        </a:xfrm>
        <a:prstGeom prst="rect">
          <a:avLst/>
        </a:prstGeom>
      </xdr:spPr>
    </xdr:pic>
    <xdr:clientData fPrintsWithSheet="0"/>
  </xdr:twoCellAnchor>
  <xdr:twoCellAnchor editAs="oneCell">
    <xdr:from>
      <xdr:col>0</xdr:col>
      <xdr:colOff>42864</xdr:colOff>
      <xdr:row>2</xdr:row>
      <xdr:rowOff>14290</xdr:rowOff>
    </xdr:from>
    <xdr:to>
      <xdr:col>0</xdr:col>
      <xdr:colOff>401825</xdr:colOff>
      <xdr:row>4</xdr:row>
      <xdr:rowOff>31138</xdr:rowOff>
    </xdr:to>
    <xdr:pic macro="[0]!AutoVBA.PrintCurrent">
      <xdr:nvPicPr>
        <xdr:cNvPr id="102" name="PrintBtn12" descr="printbtn37.bmp">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13" cstate="print"/>
        <a:stretch>
          <a:fillRect/>
        </a:stretch>
      </xdr:blipFill>
      <xdr:spPr>
        <a:xfrm>
          <a:off x="42864" y="129745"/>
          <a:ext cx="358961" cy="262188"/>
        </a:xfrm>
        <a:prstGeom prst="rect">
          <a:avLst/>
        </a:prstGeom>
      </xdr:spPr>
    </xdr:pic>
    <xdr:clientData fPrintsWithSheet="0"/>
  </xdr:twoCellAnchor>
  <xdr:twoCellAnchor editAs="oneCell">
    <xdr:from>
      <xdr:col>0</xdr:col>
      <xdr:colOff>42864</xdr:colOff>
      <xdr:row>4</xdr:row>
      <xdr:rowOff>80962</xdr:rowOff>
    </xdr:from>
    <xdr:to>
      <xdr:col>0</xdr:col>
      <xdr:colOff>401825</xdr:colOff>
      <xdr:row>8</xdr:row>
      <xdr:rowOff>21610</xdr:rowOff>
    </xdr:to>
    <xdr:pic macro="[0]!GotoPreviousAnalysis">
      <xdr:nvPicPr>
        <xdr:cNvPr id="103" name="PrevBtn12" descr="prevbtn37c.bmp">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14" cstate="print"/>
        <a:stretch>
          <a:fillRect/>
        </a:stretch>
      </xdr:blipFill>
      <xdr:spPr>
        <a:xfrm>
          <a:off x="42864" y="441757"/>
          <a:ext cx="358961" cy="258148"/>
        </a:xfrm>
        <a:prstGeom prst="rect">
          <a:avLst/>
        </a:prstGeom>
      </xdr:spPr>
    </xdr:pic>
    <xdr:clientData fPrintsWithSheet="0"/>
  </xdr:twoCellAnchor>
  <xdr:twoCellAnchor editAs="oneCell">
    <xdr:from>
      <xdr:col>0</xdr:col>
      <xdr:colOff>42864</xdr:colOff>
      <xdr:row>8</xdr:row>
      <xdr:rowOff>76200</xdr:rowOff>
    </xdr:from>
    <xdr:to>
      <xdr:col>0</xdr:col>
      <xdr:colOff>401825</xdr:colOff>
      <xdr:row>17</xdr:row>
      <xdr:rowOff>140673</xdr:rowOff>
    </xdr:to>
    <xdr:pic macro="[0]!GotoNextAnalysis">
      <xdr:nvPicPr>
        <xdr:cNvPr id="104" name="NextBtn12" descr="nextbtn37c.bmp">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15" cstate="print"/>
        <a:stretch>
          <a:fillRect/>
        </a:stretch>
      </xdr:blipFill>
      <xdr:spPr>
        <a:xfrm>
          <a:off x="42864" y="762000"/>
          <a:ext cx="358961" cy="264498"/>
        </a:xfrm>
        <a:prstGeom prst="rect">
          <a:avLst/>
        </a:prstGeom>
      </xdr:spPr>
    </xdr:pic>
    <xdr:clientData fPrintsWithSheet="0"/>
  </xdr:twoCellAnchor>
  <xdr:twoCellAnchor editAs="oneCell">
    <xdr:from>
      <xdr:col>0</xdr:col>
      <xdr:colOff>42864</xdr:colOff>
      <xdr:row>18</xdr:row>
      <xdr:rowOff>31750</xdr:rowOff>
    </xdr:from>
    <xdr:to>
      <xdr:col>0</xdr:col>
      <xdr:colOff>401825</xdr:colOff>
      <xdr:row>19</xdr:row>
      <xdr:rowOff>134323</xdr:rowOff>
    </xdr:to>
    <xdr:pic macro="[0]!GoHome">
      <xdr:nvPicPr>
        <xdr:cNvPr id="105" name="HomeBtn12" descr="homebtn37b.bmp">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6" cstate="print"/>
        <a:stretch>
          <a:fillRect/>
        </a:stretch>
      </xdr:blipFill>
      <xdr:spPr>
        <a:xfrm>
          <a:off x="42864" y="1079500"/>
          <a:ext cx="358961" cy="264498"/>
        </a:xfrm>
        <a:prstGeom prst="rect">
          <a:avLst/>
        </a:prstGeom>
      </xdr:spPr>
    </xdr:pic>
    <xdr:clientData fPrintsWithSheet="0"/>
  </xdr:twoCellAnchor>
  <xdr:twoCellAnchor editAs="oneCell">
    <xdr:from>
      <xdr:col>0</xdr:col>
      <xdr:colOff>42864</xdr:colOff>
      <xdr:row>20</xdr:row>
      <xdr:rowOff>25400</xdr:rowOff>
    </xdr:from>
    <xdr:to>
      <xdr:col>0</xdr:col>
      <xdr:colOff>401825</xdr:colOff>
      <xdr:row>21</xdr:row>
      <xdr:rowOff>127973</xdr:rowOff>
    </xdr:to>
    <xdr:pic macro="[0]!ShowGuide">
      <xdr:nvPicPr>
        <xdr:cNvPr id="106" name="HelpBtn12" descr="helpbtn37c.bmp">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7" cstate="print"/>
        <a:stretch>
          <a:fillRect/>
        </a:stretch>
      </xdr:blipFill>
      <xdr:spPr>
        <a:xfrm>
          <a:off x="42864" y="1397000"/>
          <a:ext cx="358961" cy="264498"/>
        </a:xfrm>
        <a:prstGeom prst="rect">
          <a:avLst/>
        </a:prstGeom>
      </xdr:spPr>
    </xdr:pic>
    <xdr:clientData fPrintsWithSheet="0"/>
  </xdr:twoCellAnchor>
  <xdr:twoCellAnchor editAs="oneCell">
    <xdr:from>
      <xdr:col>4</xdr:col>
      <xdr:colOff>247650</xdr:colOff>
      <xdr:row>4</xdr:row>
      <xdr:rowOff>7145</xdr:rowOff>
    </xdr:from>
    <xdr:to>
      <xdr:col>4</xdr:col>
      <xdr:colOff>428625</xdr:colOff>
      <xdr:row>5</xdr:row>
      <xdr:rowOff>16670</xdr:rowOff>
    </xdr:to>
    <xdr:pic macro="[0]!AnalysisRefresh">
      <xdr:nvPicPr>
        <xdr:cNvPr id="108" name="DiscountRateAnalysisBtn" descr="analysisrefresh37.bmp">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18" cstate="print"/>
        <a:stretch>
          <a:fillRect/>
        </a:stretch>
      </xdr:blipFill>
      <xdr:spPr>
        <a:xfrm>
          <a:off x="2978150" y="388145"/>
          <a:ext cx="180975" cy="168275"/>
        </a:xfrm>
        <a:prstGeom prst="rect">
          <a:avLst/>
        </a:prstGeom>
      </xdr:spPr>
    </xdr:pic>
    <xdr:clientData fPrintsWithSheet="0"/>
  </xdr:twoCellAnchor>
  <xdr:twoCellAnchor editAs="oneCell">
    <xdr:from>
      <xdr:col>0</xdr:col>
      <xdr:colOff>42864</xdr:colOff>
      <xdr:row>43</xdr:row>
      <xdr:rowOff>21432</xdr:rowOff>
    </xdr:from>
    <xdr:to>
      <xdr:col>0</xdr:col>
      <xdr:colOff>401825</xdr:colOff>
      <xdr:row>45</xdr:row>
      <xdr:rowOff>38280</xdr:rowOff>
    </xdr:to>
    <xdr:pic macro="[0]!AutoVBA.PrintCurrent">
      <xdr:nvPicPr>
        <xdr:cNvPr id="109" name="PrintBtn13" descr="printbtn37.bmp">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13" cstate="print"/>
        <a:stretch>
          <a:fillRect/>
        </a:stretch>
      </xdr:blipFill>
      <xdr:spPr>
        <a:xfrm>
          <a:off x="42864" y="5029273"/>
          <a:ext cx="358961" cy="262189"/>
        </a:xfrm>
        <a:prstGeom prst="rect">
          <a:avLst/>
        </a:prstGeom>
      </xdr:spPr>
    </xdr:pic>
    <xdr:clientData fPrintsWithSheet="0"/>
  </xdr:twoCellAnchor>
  <xdr:twoCellAnchor editAs="oneCell">
    <xdr:from>
      <xdr:col>0</xdr:col>
      <xdr:colOff>42864</xdr:colOff>
      <xdr:row>45</xdr:row>
      <xdr:rowOff>88106</xdr:rowOff>
    </xdr:from>
    <xdr:to>
      <xdr:col>0</xdr:col>
      <xdr:colOff>401825</xdr:colOff>
      <xdr:row>47</xdr:row>
      <xdr:rowOff>19229</xdr:rowOff>
    </xdr:to>
    <xdr:pic macro="[0]!GotoPreviousAnalysis">
      <xdr:nvPicPr>
        <xdr:cNvPr id="110" name="PrevBtn13" descr="prevbtn37c.bmp">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14" cstate="print"/>
        <a:stretch>
          <a:fillRect/>
        </a:stretch>
      </xdr:blipFill>
      <xdr:spPr>
        <a:xfrm>
          <a:off x="42864" y="5341288"/>
          <a:ext cx="358961" cy="263055"/>
        </a:xfrm>
        <a:prstGeom prst="rect">
          <a:avLst/>
        </a:prstGeom>
      </xdr:spPr>
    </xdr:pic>
    <xdr:clientData fPrintsWithSheet="0"/>
  </xdr:twoCellAnchor>
  <xdr:twoCellAnchor editAs="oneCell">
    <xdr:from>
      <xdr:col>0</xdr:col>
      <xdr:colOff>42864</xdr:colOff>
      <xdr:row>47</xdr:row>
      <xdr:rowOff>69058</xdr:rowOff>
    </xdr:from>
    <xdr:to>
      <xdr:col>0</xdr:col>
      <xdr:colOff>401825</xdr:colOff>
      <xdr:row>62</xdr:row>
      <xdr:rowOff>133531</xdr:rowOff>
    </xdr:to>
    <xdr:pic macro="[0]!GotoNextAnalysis">
      <xdr:nvPicPr>
        <xdr:cNvPr id="111" name="NextBtn13" descr="nextbtn37c.bmp">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15" cstate="print"/>
        <a:stretch>
          <a:fillRect/>
        </a:stretch>
      </xdr:blipFill>
      <xdr:spPr>
        <a:xfrm>
          <a:off x="42864" y="5654172"/>
          <a:ext cx="358961" cy="266518"/>
        </a:xfrm>
        <a:prstGeom prst="rect">
          <a:avLst/>
        </a:prstGeom>
      </xdr:spPr>
    </xdr:pic>
    <xdr:clientData fPrintsWithSheet="0"/>
  </xdr:twoCellAnchor>
  <xdr:twoCellAnchor editAs="oneCell">
    <xdr:from>
      <xdr:col>0</xdr:col>
      <xdr:colOff>42864</xdr:colOff>
      <xdr:row>63</xdr:row>
      <xdr:rowOff>9526</xdr:rowOff>
    </xdr:from>
    <xdr:to>
      <xdr:col>0</xdr:col>
      <xdr:colOff>401825</xdr:colOff>
      <xdr:row>64</xdr:row>
      <xdr:rowOff>112099</xdr:rowOff>
    </xdr:to>
    <xdr:pic macro="[0]!GoHome">
      <xdr:nvPicPr>
        <xdr:cNvPr id="112" name="HomeBtn13" descr="homebtn37b.bmp">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6" cstate="print"/>
        <a:stretch>
          <a:fillRect/>
        </a:stretch>
      </xdr:blipFill>
      <xdr:spPr>
        <a:xfrm>
          <a:off x="42864" y="5969867"/>
          <a:ext cx="358961" cy="261323"/>
        </a:xfrm>
        <a:prstGeom prst="rect">
          <a:avLst/>
        </a:prstGeom>
      </xdr:spPr>
    </xdr:pic>
    <xdr:clientData fPrintsWithSheet="0"/>
  </xdr:twoCellAnchor>
  <xdr:twoCellAnchor editAs="oneCell">
    <xdr:from>
      <xdr:col>0</xdr:col>
      <xdr:colOff>42864</xdr:colOff>
      <xdr:row>65</xdr:row>
      <xdr:rowOff>1</xdr:rowOff>
    </xdr:from>
    <xdr:to>
      <xdr:col>0</xdr:col>
      <xdr:colOff>401825</xdr:colOff>
      <xdr:row>66</xdr:row>
      <xdr:rowOff>102574</xdr:rowOff>
    </xdr:to>
    <xdr:pic macro="[0]!ShowGuide">
      <xdr:nvPicPr>
        <xdr:cNvPr id="113" name="HelpBtn13" descr="helpbtn37c.bmp">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7" cstate="print"/>
        <a:stretch>
          <a:fillRect/>
        </a:stretch>
      </xdr:blipFill>
      <xdr:spPr>
        <a:xfrm>
          <a:off x="42864" y="6277842"/>
          <a:ext cx="358961" cy="261323"/>
        </a:xfrm>
        <a:prstGeom prst="rect">
          <a:avLst/>
        </a:prstGeom>
      </xdr:spPr>
    </xdr:pic>
    <xdr:clientData fPrintsWithSheet="0"/>
  </xdr:twoCellAnchor>
  <xdr:twoCellAnchor editAs="oneCell">
    <xdr:from>
      <xdr:col>4</xdr:col>
      <xdr:colOff>247650</xdr:colOff>
      <xdr:row>45</xdr:row>
      <xdr:rowOff>9524</xdr:rowOff>
    </xdr:from>
    <xdr:to>
      <xdr:col>4</xdr:col>
      <xdr:colOff>428625</xdr:colOff>
      <xdr:row>46</xdr:row>
      <xdr:rowOff>9524</xdr:rowOff>
    </xdr:to>
    <xdr:pic macro="[0]!AnalysisRefresh">
      <xdr:nvPicPr>
        <xdr:cNvPr id="114" name="InvestmentAnalysisBtn" descr="analysisrefresh37.bmp">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18" cstate="print"/>
        <a:stretch>
          <a:fillRect/>
        </a:stretch>
      </xdr:blipFill>
      <xdr:spPr>
        <a:xfrm>
          <a:off x="2978150" y="5318124"/>
          <a:ext cx="180975" cy="177800"/>
        </a:xfrm>
        <a:prstGeom prst="rect">
          <a:avLst/>
        </a:prstGeom>
      </xdr:spPr>
    </xdr:pic>
    <xdr:clientData fPrintsWithSheet="0"/>
  </xdr:twoCellAnchor>
  <xdr:twoCellAnchor editAs="oneCell">
    <xdr:from>
      <xdr:col>0</xdr:col>
      <xdr:colOff>42864</xdr:colOff>
      <xdr:row>88</xdr:row>
      <xdr:rowOff>4762</xdr:rowOff>
    </xdr:from>
    <xdr:to>
      <xdr:col>0</xdr:col>
      <xdr:colOff>401825</xdr:colOff>
      <xdr:row>90</xdr:row>
      <xdr:rowOff>21610</xdr:rowOff>
    </xdr:to>
    <xdr:pic macro="[0]!AutoVBA.PrintCurrent">
      <xdr:nvPicPr>
        <xdr:cNvPr id="115" name="PrintBtn14" descr="printbtn37.bmp">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13" cstate="print"/>
        <a:stretch>
          <a:fillRect/>
        </a:stretch>
      </xdr:blipFill>
      <xdr:spPr>
        <a:xfrm>
          <a:off x="42864" y="9933853"/>
          <a:ext cx="358961" cy="262189"/>
        </a:xfrm>
        <a:prstGeom prst="rect">
          <a:avLst/>
        </a:prstGeom>
      </xdr:spPr>
    </xdr:pic>
    <xdr:clientData fPrintsWithSheet="0"/>
  </xdr:twoCellAnchor>
  <xdr:twoCellAnchor editAs="oneCell">
    <xdr:from>
      <xdr:col>4</xdr:col>
      <xdr:colOff>247650</xdr:colOff>
      <xdr:row>90</xdr:row>
      <xdr:rowOff>4764</xdr:rowOff>
    </xdr:from>
    <xdr:to>
      <xdr:col>4</xdr:col>
      <xdr:colOff>428625</xdr:colOff>
      <xdr:row>90</xdr:row>
      <xdr:rowOff>176214</xdr:rowOff>
    </xdr:to>
    <xdr:pic macro="[0]!AnalysisRefresh">
      <xdr:nvPicPr>
        <xdr:cNvPr id="116" name="TurnoverAnalysisBtn" descr="analysisrefresh37.bmp">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8" cstate="print"/>
        <a:stretch>
          <a:fillRect/>
        </a:stretch>
      </xdr:blipFill>
      <xdr:spPr>
        <a:xfrm>
          <a:off x="2978150" y="10285414"/>
          <a:ext cx="180975" cy="171450"/>
        </a:xfrm>
        <a:prstGeom prst="rect">
          <a:avLst/>
        </a:prstGeom>
      </xdr:spPr>
    </xdr:pic>
    <xdr:clientData fPrintsWithSheet="0"/>
  </xdr:twoCellAnchor>
  <xdr:twoCellAnchor editAs="oneCell">
    <xdr:from>
      <xdr:col>0</xdr:col>
      <xdr:colOff>42864</xdr:colOff>
      <xdr:row>90</xdr:row>
      <xdr:rowOff>78580</xdr:rowOff>
    </xdr:from>
    <xdr:to>
      <xdr:col>0</xdr:col>
      <xdr:colOff>401825</xdr:colOff>
      <xdr:row>91</xdr:row>
      <xdr:rowOff>152578</xdr:rowOff>
    </xdr:to>
    <xdr:pic macro="[0]!GotoPreviousAnalysis">
      <xdr:nvPicPr>
        <xdr:cNvPr id="117" name="PrevBtn14" descr="prevbtn37c.bmp">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14" cstate="print"/>
        <a:stretch>
          <a:fillRect/>
        </a:stretch>
      </xdr:blipFill>
      <xdr:spPr>
        <a:xfrm>
          <a:off x="42864" y="10253012"/>
          <a:ext cx="358961" cy="261611"/>
        </a:xfrm>
        <a:prstGeom prst="rect">
          <a:avLst/>
        </a:prstGeom>
      </xdr:spPr>
    </xdr:pic>
    <xdr:clientData fPrintsWithSheet="0"/>
  </xdr:twoCellAnchor>
  <xdr:twoCellAnchor editAs="oneCell">
    <xdr:from>
      <xdr:col>0</xdr:col>
      <xdr:colOff>42864</xdr:colOff>
      <xdr:row>92</xdr:row>
      <xdr:rowOff>0</xdr:rowOff>
    </xdr:from>
    <xdr:to>
      <xdr:col>0</xdr:col>
      <xdr:colOff>401825</xdr:colOff>
      <xdr:row>107</xdr:row>
      <xdr:rowOff>95428</xdr:rowOff>
    </xdr:to>
    <xdr:pic macro="[0]!GotoNextAnalysis">
      <xdr:nvPicPr>
        <xdr:cNvPr id="120" name="NextBtn14" descr="nextbtn37c.bmp">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5" cstate="print"/>
        <a:stretch>
          <a:fillRect/>
        </a:stretch>
      </xdr:blipFill>
      <xdr:spPr>
        <a:xfrm>
          <a:off x="42864" y="10564091"/>
          <a:ext cx="358961" cy="268610"/>
        </a:xfrm>
        <a:prstGeom prst="rect">
          <a:avLst/>
        </a:prstGeom>
      </xdr:spPr>
    </xdr:pic>
    <xdr:clientData fPrintsWithSheet="0"/>
  </xdr:twoCellAnchor>
  <xdr:twoCellAnchor editAs="oneCell">
    <xdr:from>
      <xdr:col>0</xdr:col>
      <xdr:colOff>42864</xdr:colOff>
      <xdr:row>107</xdr:row>
      <xdr:rowOff>142875</xdr:rowOff>
    </xdr:from>
    <xdr:to>
      <xdr:col>0</xdr:col>
      <xdr:colOff>401825</xdr:colOff>
      <xdr:row>109</xdr:row>
      <xdr:rowOff>83523</xdr:rowOff>
    </xdr:to>
    <xdr:pic macro="[0]!GoHome">
      <xdr:nvPicPr>
        <xdr:cNvPr id="121" name="HomeBtn14" descr="homebtn37b.bmp">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6" cstate="print"/>
        <a:stretch>
          <a:fillRect/>
        </a:stretch>
      </xdr:blipFill>
      <xdr:spPr>
        <a:xfrm>
          <a:off x="42864" y="10880148"/>
          <a:ext cx="358961" cy="258148"/>
        </a:xfrm>
        <a:prstGeom prst="rect">
          <a:avLst/>
        </a:prstGeom>
      </xdr:spPr>
    </xdr:pic>
    <xdr:clientData fPrintsWithSheet="0"/>
  </xdr:twoCellAnchor>
  <xdr:twoCellAnchor editAs="oneCell">
    <xdr:from>
      <xdr:col>0</xdr:col>
      <xdr:colOff>42864</xdr:colOff>
      <xdr:row>109</xdr:row>
      <xdr:rowOff>140495</xdr:rowOff>
    </xdr:from>
    <xdr:to>
      <xdr:col>0</xdr:col>
      <xdr:colOff>401825</xdr:colOff>
      <xdr:row>111</xdr:row>
      <xdr:rowOff>81143</xdr:rowOff>
    </xdr:to>
    <xdr:pic macro="[0]!ShowGuide">
      <xdr:nvPicPr>
        <xdr:cNvPr id="122" name="HelpBtn14" descr="helpbtn37c.bmp">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7" cstate="print"/>
        <a:stretch>
          <a:fillRect/>
        </a:stretch>
      </xdr:blipFill>
      <xdr:spPr>
        <a:xfrm>
          <a:off x="42864" y="11195268"/>
          <a:ext cx="358961" cy="258148"/>
        </a:xfrm>
        <a:prstGeom prst="rect">
          <a:avLst/>
        </a:prstGeom>
      </xdr:spPr>
    </xdr:pic>
    <xdr:clientData fPrintsWithSheet="0"/>
  </xdr:twoCellAnchor>
  <xdr:twoCellAnchor editAs="oneCell">
    <xdr:from>
      <xdr:col>0</xdr:col>
      <xdr:colOff>42864</xdr:colOff>
      <xdr:row>132</xdr:row>
      <xdr:rowOff>19052</xdr:rowOff>
    </xdr:from>
    <xdr:to>
      <xdr:col>0</xdr:col>
      <xdr:colOff>401825</xdr:colOff>
      <xdr:row>134</xdr:row>
      <xdr:rowOff>35900</xdr:rowOff>
    </xdr:to>
    <xdr:pic macro="[0]!AutoVBA.PrintCurrent">
      <xdr:nvPicPr>
        <xdr:cNvPr id="123" name="PrintBtn15" descr="printbtn37.bmp">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13" cstate="print"/>
        <a:stretch>
          <a:fillRect/>
        </a:stretch>
      </xdr:blipFill>
      <xdr:spPr>
        <a:xfrm>
          <a:off x="42864" y="14725075"/>
          <a:ext cx="358961" cy="262189"/>
        </a:xfrm>
        <a:prstGeom prst="rect">
          <a:avLst/>
        </a:prstGeom>
      </xdr:spPr>
    </xdr:pic>
    <xdr:clientData fPrintsWithSheet="0"/>
  </xdr:twoCellAnchor>
  <xdr:twoCellAnchor editAs="oneCell">
    <xdr:from>
      <xdr:col>0</xdr:col>
      <xdr:colOff>42864</xdr:colOff>
      <xdr:row>134</xdr:row>
      <xdr:rowOff>83347</xdr:rowOff>
    </xdr:from>
    <xdr:to>
      <xdr:col>0</xdr:col>
      <xdr:colOff>401825</xdr:colOff>
      <xdr:row>135</xdr:row>
      <xdr:rowOff>157345</xdr:rowOff>
    </xdr:to>
    <xdr:pic macro="[0]!GotoPreviousAnalysis">
      <xdr:nvPicPr>
        <xdr:cNvPr id="124" name="PrevBtn15" descr="prevbtn37c.bmp">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4" cstate="print"/>
        <a:stretch>
          <a:fillRect/>
        </a:stretch>
      </xdr:blipFill>
      <xdr:spPr>
        <a:xfrm>
          <a:off x="42864" y="15034711"/>
          <a:ext cx="358961" cy="261611"/>
        </a:xfrm>
        <a:prstGeom prst="rect">
          <a:avLst/>
        </a:prstGeom>
      </xdr:spPr>
    </xdr:pic>
    <xdr:clientData fPrintsWithSheet="0"/>
  </xdr:twoCellAnchor>
  <xdr:twoCellAnchor editAs="oneCell">
    <xdr:from>
      <xdr:col>0</xdr:col>
      <xdr:colOff>42864</xdr:colOff>
      <xdr:row>136</xdr:row>
      <xdr:rowOff>7148</xdr:rowOff>
    </xdr:from>
    <xdr:to>
      <xdr:col>0</xdr:col>
      <xdr:colOff>401825</xdr:colOff>
      <xdr:row>151</xdr:row>
      <xdr:rowOff>100196</xdr:rowOff>
    </xdr:to>
    <xdr:pic macro="[0]!GotoNextAnalysis">
      <xdr:nvPicPr>
        <xdr:cNvPr id="125" name="NextBtn15" descr="nextbtn37c.bmp">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15" cstate="print"/>
        <a:stretch>
          <a:fillRect/>
        </a:stretch>
      </xdr:blipFill>
      <xdr:spPr>
        <a:xfrm>
          <a:off x="42864" y="15348171"/>
          <a:ext cx="358961" cy="266230"/>
        </a:xfrm>
        <a:prstGeom prst="rect">
          <a:avLst/>
        </a:prstGeom>
      </xdr:spPr>
    </xdr:pic>
    <xdr:clientData fPrintsWithSheet="0"/>
  </xdr:twoCellAnchor>
  <xdr:twoCellAnchor editAs="oneCell">
    <xdr:from>
      <xdr:col>0</xdr:col>
      <xdr:colOff>42864</xdr:colOff>
      <xdr:row>151</xdr:row>
      <xdr:rowOff>147642</xdr:rowOff>
    </xdr:from>
    <xdr:to>
      <xdr:col>0</xdr:col>
      <xdr:colOff>401825</xdr:colOff>
      <xdr:row>153</xdr:row>
      <xdr:rowOff>88290</xdr:rowOff>
    </xdr:to>
    <xdr:pic macro="[0]!GoHome">
      <xdr:nvPicPr>
        <xdr:cNvPr id="126" name="HomeBtn15" descr="homebtn37b.bmp">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6" cstate="print"/>
        <a:stretch>
          <a:fillRect/>
        </a:stretch>
      </xdr:blipFill>
      <xdr:spPr>
        <a:xfrm>
          <a:off x="42864" y="15661847"/>
          <a:ext cx="358961" cy="258148"/>
        </a:xfrm>
        <a:prstGeom prst="rect">
          <a:avLst/>
        </a:prstGeom>
      </xdr:spPr>
    </xdr:pic>
    <xdr:clientData fPrintsWithSheet="0"/>
  </xdr:twoCellAnchor>
  <xdr:twoCellAnchor editAs="oneCell">
    <xdr:from>
      <xdr:col>0</xdr:col>
      <xdr:colOff>42864</xdr:colOff>
      <xdr:row>153</xdr:row>
      <xdr:rowOff>142878</xdr:rowOff>
    </xdr:from>
    <xdr:to>
      <xdr:col>0</xdr:col>
      <xdr:colOff>401825</xdr:colOff>
      <xdr:row>155</xdr:row>
      <xdr:rowOff>83526</xdr:rowOff>
    </xdr:to>
    <xdr:pic macro="[0]!ShowGuide">
      <xdr:nvPicPr>
        <xdr:cNvPr id="127" name="HelpBtn15" descr="helpbtn37c.bmp">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17" cstate="print"/>
        <a:stretch>
          <a:fillRect/>
        </a:stretch>
      </xdr:blipFill>
      <xdr:spPr>
        <a:xfrm>
          <a:off x="42864" y="15974583"/>
          <a:ext cx="358961" cy="258148"/>
        </a:xfrm>
        <a:prstGeom prst="rect">
          <a:avLst/>
        </a:prstGeom>
      </xdr:spPr>
    </xdr:pic>
    <xdr:clientData fPrintsWithSheet="0"/>
  </xdr:twoCellAnchor>
  <xdr:twoCellAnchor editAs="oneCell">
    <xdr:from>
      <xdr:col>4</xdr:col>
      <xdr:colOff>247650</xdr:colOff>
      <xdr:row>134</xdr:row>
      <xdr:rowOff>4765</xdr:rowOff>
    </xdr:from>
    <xdr:to>
      <xdr:col>4</xdr:col>
      <xdr:colOff>428625</xdr:colOff>
      <xdr:row>134</xdr:row>
      <xdr:rowOff>176215</xdr:rowOff>
    </xdr:to>
    <xdr:pic macro="[0]!AnalysisRefresh">
      <xdr:nvPicPr>
        <xdr:cNvPr id="128" name="VariableCostAnalysisBtn" descr="analysisrefresh37.bmp">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8" cstate="print"/>
        <a:stretch>
          <a:fillRect/>
        </a:stretch>
      </xdr:blipFill>
      <xdr:spPr>
        <a:xfrm>
          <a:off x="2978150" y="15105065"/>
          <a:ext cx="180975" cy="171450"/>
        </a:xfrm>
        <a:prstGeom prst="rect">
          <a:avLst/>
        </a:prstGeom>
      </xdr:spPr>
    </xdr:pic>
    <xdr:clientData fPrintsWithSheet="0"/>
  </xdr:twoCellAnchor>
  <xdr:twoCellAnchor editAs="oneCell">
    <xdr:from>
      <xdr:col>0</xdr:col>
      <xdr:colOff>42864</xdr:colOff>
      <xdr:row>176</xdr:row>
      <xdr:rowOff>30958</xdr:rowOff>
    </xdr:from>
    <xdr:to>
      <xdr:col>0</xdr:col>
      <xdr:colOff>401825</xdr:colOff>
      <xdr:row>178</xdr:row>
      <xdr:rowOff>47806</xdr:rowOff>
    </xdr:to>
    <xdr:pic macro="[0]!AutoVBA.PrintCurrent">
      <xdr:nvPicPr>
        <xdr:cNvPr id="129" name="PrintBtn16" descr="printbtn37.bmp">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3" cstate="print"/>
        <a:stretch>
          <a:fillRect/>
        </a:stretch>
      </xdr:blipFill>
      <xdr:spPr>
        <a:xfrm>
          <a:off x="42864" y="19513913"/>
          <a:ext cx="358961" cy="262188"/>
        </a:xfrm>
        <a:prstGeom prst="rect">
          <a:avLst/>
        </a:prstGeom>
      </xdr:spPr>
    </xdr:pic>
    <xdr:clientData fPrintsWithSheet="0"/>
  </xdr:twoCellAnchor>
  <xdr:twoCellAnchor editAs="oneCell">
    <xdr:from>
      <xdr:col>0</xdr:col>
      <xdr:colOff>42864</xdr:colOff>
      <xdr:row>178</xdr:row>
      <xdr:rowOff>97636</xdr:rowOff>
    </xdr:from>
    <xdr:to>
      <xdr:col>0</xdr:col>
      <xdr:colOff>401825</xdr:colOff>
      <xdr:row>179</xdr:row>
      <xdr:rowOff>171453</xdr:rowOff>
    </xdr:to>
    <xdr:pic macro="[0]!GotoPreviousAnalysis">
      <xdr:nvPicPr>
        <xdr:cNvPr id="130" name="PrevBtn16" descr="prevbtn37c.bmp">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4" cstate="print"/>
        <a:stretch>
          <a:fillRect/>
        </a:stretch>
      </xdr:blipFill>
      <xdr:spPr>
        <a:xfrm>
          <a:off x="42864" y="19825931"/>
          <a:ext cx="358961" cy="261431"/>
        </a:xfrm>
        <a:prstGeom prst="rect">
          <a:avLst/>
        </a:prstGeom>
      </xdr:spPr>
    </xdr:pic>
    <xdr:clientData fPrintsWithSheet="0"/>
  </xdr:twoCellAnchor>
  <xdr:twoCellAnchor editAs="oneCell">
    <xdr:from>
      <xdr:col>0</xdr:col>
      <xdr:colOff>42864</xdr:colOff>
      <xdr:row>194</xdr:row>
      <xdr:rowOff>26196</xdr:rowOff>
    </xdr:from>
    <xdr:to>
      <xdr:col>0</xdr:col>
      <xdr:colOff>401825</xdr:colOff>
      <xdr:row>195</xdr:row>
      <xdr:rowOff>119244</xdr:rowOff>
    </xdr:to>
    <xdr:pic macro="[0]!GotoNextAnalysis">
      <xdr:nvPicPr>
        <xdr:cNvPr id="131" name="NextBtn16" descr="nextbtn37c.bmp">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5" cstate="print"/>
        <a:stretch>
          <a:fillRect/>
        </a:stretch>
      </xdr:blipFill>
      <xdr:spPr>
        <a:xfrm>
          <a:off x="42864" y="20144151"/>
          <a:ext cx="358961" cy="266229"/>
        </a:xfrm>
        <a:prstGeom prst="rect">
          <a:avLst/>
        </a:prstGeom>
      </xdr:spPr>
    </xdr:pic>
    <xdr:clientData fPrintsWithSheet="0"/>
  </xdr:twoCellAnchor>
  <xdr:twoCellAnchor editAs="oneCell">
    <xdr:from>
      <xdr:col>0</xdr:col>
      <xdr:colOff>42864</xdr:colOff>
      <xdr:row>196</xdr:row>
      <xdr:rowOff>14289</xdr:rowOff>
    </xdr:from>
    <xdr:to>
      <xdr:col>0</xdr:col>
      <xdr:colOff>401825</xdr:colOff>
      <xdr:row>197</xdr:row>
      <xdr:rowOff>116862</xdr:rowOff>
    </xdr:to>
    <xdr:pic macro="[0]!GoHome">
      <xdr:nvPicPr>
        <xdr:cNvPr id="132" name="HomeBtn16" descr="homebtn37b.bmp">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6" cstate="print"/>
        <a:stretch>
          <a:fillRect/>
        </a:stretch>
      </xdr:blipFill>
      <xdr:spPr>
        <a:xfrm>
          <a:off x="42864" y="20464175"/>
          <a:ext cx="358961" cy="261323"/>
        </a:xfrm>
        <a:prstGeom prst="rect">
          <a:avLst/>
        </a:prstGeom>
      </xdr:spPr>
    </xdr:pic>
    <xdr:clientData fPrintsWithSheet="0"/>
  </xdr:twoCellAnchor>
  <xdr:twoCellAnchor editAs="oneCell">
    <xdr:from>
      <xdr:col>0</xdr:col>
      <xdr:colOff>42864</xdr:colOff>
      <xdr:row>198</xdr:row>
      <xdr:rowOff>11906</xdr:rowOff>
    </xdr:from>
    <xdr:to>
      <xdr:col>0</xdr:col>
      <xdr:colOff>401825</xdr:colOff>
      <xdr:row>199</xdr:row>
      <xdr:rowOff>114479</xdr:rowOff>
    </xdr:to>
    <xdr:pic macro="[0]!ShowGuide">
      <xdr:nvPicPr>
        <xdr:cNvPr id="133" name="HelpBtn16" descr="helpbtn37c.bmp">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17" cstate="print"/>
        <a:stretch>
          <a:fillRect/>
        </a:stretch>
      </xdr:blipFill>
      <xdr:spPr>
        <a:xfrm>
          <a:off x="42864" y="20779292"/>
          <a:ext cx="358961" cy="261323"/>
        </a:xfrm>
        <a:prstGeom prst="rect">
          <a:avLst/>
        </a:prstGeom>
      </xdr:spPr>
    </xdr:pic>
    <xdr:clientData fPrintsWithSheet="0"/>
  </xdr:twoCellAnchor>
  <xdr:twoCellAnchor editAs="oneCell">
    <xdr:from>
      <xdr:col>4</xdr:col>
      <xdr:colOff>247650</xdr:colOff>
      <xdr:row>178</xdr:row>
      <xdr:rowOff>11908</xdr:rowOff>
    </xdr:from>
    <xdr:to>
      <xdr:col>4</xdr:col>
      <xdr:colOff>428625</xdr:colOff>
      <xdr:row>178</xdr:row>
      <xdr:rowOff>183358</xdr:rowOff>
    </xdr:to>
    <xdr:pic macro="[0]!AnalysisRefresh">
      <xdr:nvPicPr>
        <xdr:cNvPr id="134" name="FixedCostAnalysisBtn" descr="analysisrefresh37.bmp">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8" cstate="print"/>
        <a:stretch>
          <a:fillRect/>
        </a:stretch>
      </xdr:blipFill>
      <xdr:spPr>
        <a:xfrm>
          <a:off x="2978150" y="19931858"/>
          <a:ext cx="180975" cy="171450"/>
        </a:xfrm>
        <a:prstGeom prst="rect">
          <a:avLst/>
        </a:prstGeom>
      </xdr:spPr>
    </xdr:pic>
    <xdr:clientData fPrintsWithSheet="0"/>
  </xdr:twoCellAnchor>
  <xdr:twoCellAnchor editAs="oneCell">
    <xdr:from>
      <xdr:col>0</xdr:col>
      <xdr:colOff>42864</xdr:colOff>
      <xdr:row>220</xdr:row>
      <xdr:rowOff>23815</xdr:rowOff>
    </xdr:from>
    <xdr:to>
      <xdr:col>0</xdr:col>
      <xdr:colOff>401825</xdr:colOff>
      <xdr:row>222</xdr:row>
      <xdr:rowOff>40663</xdr:rowOff>
    </xdr:to>
    <xdr:pic macro="[0]!AutoVBA.PrintCurrent">
      <xdr:nvPicPr>
        <xdr:cNvPr id="135" name="PrintBtn17" descr="printbtn37.bmp">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3" cstate="print"/>
        <a:stretch>
          <a:fillRect/>
        </a:stretch>
      </xdr:blipFill>
      <xdr:spPr>
        <a:xfrm>
          <a:off x="42864" y="24283701"/>
          <a:ext cx="358961" cy="262189"/>
        </a:xfrm>
        <a:prstGeom prst="rect">
          <a:avLst/>
        </a:prstGeom>
      </xdr:spPr>
    </xdr:pic>
    <xdr:clientData fPrintsWithSheet="0"/>
  </xdr:twoCellAnchor>
  <xdr:twoCellAnchor editAs="oneCell">
    <xdr:from>
      <xdr:col>0</xdr:col>
      <xdr:colOff>42864</xdr:colOff>
      <xdr:row>222</xdr:row>
      <xdr:rowOff>95252</xdr:rowOff>
    </xdr:from>
    <xdr:to>
      <xdr:col>0</xdr:col>
      <xdr:colOff>401825</xdr:colOff>
      <xdr:row>223</xdr:row>
      <xdr:rowOff>159725</xdr:rowOff>
    </xdr:to>
    <xdr:pic macro="[0]!GotoPreviousAnalysis">
      <xdr:nvPicPr>
        <xdr:cNvPr id="136" name="PrevBtn28" descr="prevbtn37c.bmp">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14" cstate="print"/>
        <a:stretch>
          <a:fillRect/>
        </a:stretch>
      </xdr:blipFill>
      <xdr:spPr>
        <a:xfrm>
          <a:off x="42864" y="24600479"/>
          <a:ext cx="358961" cy="266519"/>
        </a:xfrm>
        <a:prstGeom prst="rect">
          <a:avLst/>
        </a:prstGeom>
      </xdr:spPr>
    </xdr:pic>
    <xdr:clientData fPrintsWithSheet="0"/>
  </xdr:twoCellAnchor>
  <xdr:twoCellAnchor editAs="oneCell">
    <xdr:from>
      <xdr:col>0</xdr:col>
      <xdr:colOff>42864</xdr:colOff>
      <xdr:row>224</xdr:row>
      <xdr:rowOff>28577</xdr:rowOff>
    </xdr:from>
    <xdr:to>
      <xdr:col>0</xdr:col>
      <xdr:colOff>401825</xdr:colOff>
      <xdr:row>225</xdr:row>
      <xdr:rowOff>93050</xdr:rowOff>
    </xdr:to>
    <xdr:pic macro="[0]!GotoNextAnalysis">
      <xdr:nvPicPr>
        <xdr:cNvPr id="137" name="NextBtn28" descr="nextbtn37c.bmp">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15" cstate="print"/>
        <a:stretch>
          <a:fillRect/>
        </a:stretch>
      </xdr:blipFill>
      <xdr:spPr>
        <a:xfrm>
          <a:off x="42864" y="24923463"/>
          <a:ext cx="358961" cy="266519"/>
        </a:xfrm>
        <a:prstGeom prst="rect">
          <a:avLst/>
        </a:prstGeom>
      </xdr:spPr>
    </xdr:pic>
    <xdr:clientData fPrintsWithSheet="0"/>
  </xdr:twoCellAnchor>
  <xdr:twoCellAnchor editAs="oneCell">
    <xdr:from>
      <xdr:col>0</xdr:col>
      <xdr:colOff>42864</xdr:colOff>
      <xdr:row>225</xdr:row>
      <xdr:rowOff>147640</xdr:rowOff>
    </xdr:from>
    <xdr:to>
      <xdr:col>0</xdr:col>
      <xdr:colOff>401825</xdr:colOff>
      <xdr:row>241</xdr:row>
      <xdr:rowOff>40663</xdr:rowOff>
    </xdr:to>
    <xdr:pic macro="[0]!GoHome">
      <xdr:nvPicPr>
        <xdr:cNvPr id="138" name="HomeBtn28" descr="homebtn37b.bmp">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16" cstate="print"/>
        <a:stretch>
          <a:fillRect/>
        </a:stretch>
      </xdr:blipFill>
      <xdr:spPr>
        <a:xfrm>
          <a:off x="42864" y="25244572"/>
          <a:ext cx="358961" cy="268250"/>
        </a:xfrm>
        <a:prstGeom prst="rect">
          <a:avLst/>
        </a:prstGeom>
      </xdr:spPr>
    </xdr:pic>
    <xdr:clientData fPrintsWithSheet="0"/>
  </xdr:twoCellAnchor>
  <xdr:twoCellAnchor editAs="oneCell">
    <xdr:from>
      <xdr:col>0</xdr:col>
      <xdr:colOff>42864</xdr:colOff>
      <xdr:row>241</xdr:row>
      <xdr:rowOff>95252</xdr:rowOff>
    </xdr:from>
    <xdr:to>
      <xdr:col>0</xdr:col>
      <xdr:colOff>401825</xdr:colOff>
      <xdr:row>243</xdr:row>
      <xdr:rowOff>35900</xdr:rowOff>
    </xdr:to>
    <xdr:pic macro="[0]!ShowGuide">
      <xdr:nvPicPr>
        <xdr:cNvPr id="139" name="HelpBtn28" descr="helpbtn37c.bmp">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7" cstate="print"/>
        <a:stretch>
          <a:fillRect/>
        </a:stretch>
      </xdr:blipFill>
      <xdr:spPr>
        <a:xfrm>
          <a:off x="42864" y="25567411"/>
          <a:ext cx="358961" cy="258148"/>
        </a:xfrm>
        <a:prstGeom prst="rect">
          <a:avLst/>
        </a:prstGeom>
      </xdr:spPr>
    </xdr:pic>
    <xdr:clientData fPrintsWithSheet="0"/>
  </xdr:twoCellAnchor>
  <xdr:twoCellAnchor editAs="oneCell">
    <xdr:from>
      <xdr:col>4</xdr:col>
      <xdr:colOff>247650</xdr:colOff>
      <xdr:row>223</xdr:row>
      <xdr:rowOff>11906</xdr:rowOff>
    </xdr:from>
    <xdr:to>
      <xdr:col>4</xdr:col>
      <xdr:colOff>428625</xdr:colOff>
      <xdr:row>223</xdr:row>
      <xdr:rowOff>183356</xdr:rowOff>
    </xdr:to>
    <xdr:pic macro="[0]!AnalysisRefresh">
      <xdr:nvPicPr>
        <xdr:cNvPr id="140" name="IncVarAnalysis1Btn" descr="analysisrefresh37.bmp">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8" cstate="print"/>
        <a:stretch>
          <a:fillRect/>
        </a:stretch>
      </xdr:blipFill>
      <xdr:spPr>
        <a:xfrm>
          <a:off x="2978150" y="24954706"/>
          <a:ext cx="180975" cy="171450"/>
        </a:xfrm>
        <a:prstGeom prst="rect">
          <a:avLst/>
        </a:prstGeom>
      </xdr:spPr>
    </xdr:pic>
    <xdr:clientData fPrintsWithSheet="0"/>
  </xdr:twoCellAnchor>
  <xdr:twoCellAnchor editAs="oneCell">
    <xdr:from>
      <xdr:col>0</xdr:col>
      <xdr:colOff>42864</xdr:colOff>
      <xdr:row>266</xdr:row>
      <xdr:rowOff>21432</xdr:rowOff>
    </xdr:from>
    <xdr:to>
      <xdr:col>0</xdr:col>
      <xdr:colOff>401825</xdr:colOff>
      <xdr:row>268</xdr:row>
      <xdr:rowOff>38280</xdr:rowOff>
    </xdr:to>
    <xdr:pic macro="[0]!AutoVBA.PrintCurrent">
      <xdr:nvPicPr>
        <xdr:cNvPr id="141" name="PrintBtn18" descr="printbtn37.bmp">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3" cstate="print"/>
        <a:stretch>
          <a:fillRect/>
        </a:stretch>
      </xdr:blipFill>
      <xdr:spPr>
        <a:xfrm>
          <a:off x="42864" y="29491205"/>
          <a:ext cx="358961" cy="262189"/>
        </a:xfrm>
        <a:prstGeom prst="rect">
          <a:avLst/>
        </a:prstGeom>
      </xdr:spPr>
    </xdr:pic>
    <xdr:clientData fPrintsWithSheet="0"/>
  </xdr:twoCellAnchor>
  <xdr:twoCellAnchor editAs="oneCell">
    <xdr:from>
      <xdr:col>0</xdr:col>
      <xdr:colOff>42864</xdr:colOff>
      <xdr:row>268</xdr:row>
      <xdr:rowOff>92871</xdr:rowOff>
    </xdr:from>
    <xdr:to>
      <xdr:col>0</xdr:col>
      <xdr:colOff>401825</xdr:colOff>
      <xdr:row>269</xdr:row>
      <xdr:rowOff>157344</xdr:rowOff>
    </xdr:to>
    <xdr:pic macro="[0]!GotoPreviousAnalysis">
      <xdr:nvPicPr>
        <xdr:cNvPr id="142" name="PrevBtn29" descr="prevbtn37c.bmp">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14" cstate="print"/>
        <a:stretch>
          <a:fillRect/>
        </a:stretch>
      </xdr:blipFill>
      <xdr:spPr>
        <a:xfrm>
          <a:off x="42864" y="29807985"/>
          <a:ext cx="358961" cy="266518"/>
        </a:xfrm>
        <a:prstGeom prst="rect">
          <a:avLst/>
        </a:prstGeom>
      </xdr:spPr>
    </xdr:pic>
    <xdr:clientData fPrintsWithSheet="0"/>
  </xdr:twoCellAnchor>
  <xdr:twoCellAnchor editAs="oneCell">
    <xdr:from>
      <xdr:col>0</xdr:col>
      <xdr:colOff>42864</xdr:colOff>
      <xdr:row>270</xdr:row>
      <xdr:rowOff>26196</xdr:rowOff>
    </xdr:from>
    <xdr:to>
      <xdr:col>0</xdr:col>
      <xdr:colOff>401825</xdr:colOff>
      <xdr:row>271</xdr:row>
      <xdr:rowOff>90669</xdr:rowOff>
    </xdr:to>
    <xdr:pic macro="[0]!GotoNextAnalysis">
      <xdr:nvPicPr>
        <xdr:cNvPr id="143" name="NextBtn29" descr="nextbtn37c.bmp">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5" cstate="print"/>
        <a:stretch>
          <a:fillRect/>
        </a:stretch>
      </xdr:blipFill>
      <xdr:spPr>
        <a:xfrm>
          <a:off x="42864" y="30130969"/>
          <a:ext cx="358961" cy="266518"/>
        </a:xfrm>
        <a:prstGeom prst="rect">
          <a:avLst/>
        </a:prstGeom>
      </xdr:spPr>
    </xdr:pic>
    <xdr:clientData fPrintsWithSheet="0"/>
  </xdr:twoCellAnchor>
  <xdr:twoCellAnchor editAs="oneCell">
    <xdr:from>
      <xdr:col>0</xdr:col>
      <xdr:colOff>42864</xdr:colOff>
      <xdr:row>271</xdr:row>
      <xdr:rowOff>145257</xdr:rowOff>
    </xdr:from>
    <xdr:to>
      <xdr:col>0</xdr:col>
      <xdr:colOff>401825</xdr:colOff>
      <xdr:row>287</xdr:row>
      <xdr:rowOff>38280</xdr:rowOff>
    </xdr:to>
    <xdr:pic macro="[0]!GoHome">
      <xdr:nvPicPr>
        <xdr:cNvPr id="144" name="HomeBtn29" descr="homebtn37b.bmp">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6" cstate="print"/>
        <a:stretch>
          <a:fillRect/>
        </a:stretch>
      </xdr:blipFill>
      <xdr:spPr>
        <a:xfrm>
          <a:off x="42864" y="30452075"/>
          <a:ext cx="358961" cy="268250"/>
        </a:xfrm>
        <a:prstGeom prst="rect">
          <a:avLst/>
        </a:prstGeom>
      </xdr:spPr>
    </xdr:pic>
    <xdr:clientData fPrintsWithSheet="0"/>
  </xdr:twoCellAnchor>
  <xdr:twoCellAnchor editAs="oneCell">
    <xdr:from>
      <xdr:col>0</xdr:col>
      <xdr:colOff>42864</xdr:colOff>
      <xdr:row>287</xdr:row>
      <xdr:rowOff>90490</xdr:rowOff>
    </xdr:from>
    <xdr:to>
      <xdr:col>0</xdr:col>
      <xdr:colOff>401825</xdr:colOff>
      <xdr:row>289</xdr:row>
      <xdr:rowOff>31138</xdr:rowOff>
    </xdr:to>
    <xdr:pic macro="[0]!ShowGuide">
      <xdr:nvPicPr>
        <xdr:cNvPr id="145" name="HelpBtn29" descr="helpbtn37c.bmp">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7" cstate="print"/>
        <a:stretch>
          <a:fillRect/>
        </a:stretch>
      </xdr:blipFill>
      <xdr:spPr>
        <a:xfrm>
          <a:off x="42864" y="30772535"/>
          <a:ext cx="358961" cy="258148"/>
        </a:xfrm>
        <a:prstGeom prst="rect">
          <a:avLst/>
        </a:prstGeom>
      </xdr:spPr>
    </xdr:pic>
    <xdr:clientData fPrintsWithSheet="0"/>
  </xdr:twoCellAnchor>
  <xdr:twoCellAnchor editAs="oneCell">
    <xdr:from>
      <xdr:col>4</xdr:col>
      <xdr:colOff>247650</xdr:colOff>
      <xdr:row>269</xdr:row>
      <xdr:rowOff>9526</xdr:rowOff>
    </xdr:from>
    <xdr:to>
      <xdr:col>4</xdr:col>
      <xdr:colOff>428625</xdr:colOff>
      <xdr:row>269</xdr:row>
      <xdr:rowOff>180976</xdr:rowOff>
    </xdr:to>
    <xdr:pic macro="[0]!AnalysisRefresh">
      <xdr:nvPicPr>
        <xdr:cNvPr id="146" name="IncVarAnalysis2Btn" descr="analysisrefresh37.bmp">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8" cstate="print"/>
        <a:stretch>
          <a:fillRect/>
        </a:stretch>
      </xdr:blipFill>
      <xdr:spPr>
        <a:xfrm>
          <a:off x="2978150" y="30216476"/>
          <a:ext cx="180975" cy="171450"/>
        </a:xfrm>
        <a:prstGeom prst="rect">
          <a:avLst/>
        </a:prstGeom>
      </xdr:spPr>
    </xdr:pic>
    <xdr:clientData fPrintsWithSheet="0"/>
  </xdr:twoCellAnchor>
  <xdr:twoCellAnchor editAs="oneCell">
    <xdr:from>
      <xdr:col>0</xdr:col>
      <xdr:colOff>42864</xdr:colOff>
      <xdr:row>312</xdr:row>
      <xdr:rowOff>21434</xdr:rowOff>
    </xdr:from>
    <xdr:to>
      <xdr:col>0</xdr:col>
      <xdr:colOff>401825</xdr:colOff>
      <xdr:row>314</xdr:row>
      <xdr:rowOff>38282</xdr:rowOff>
    </xdr:to>
    <xdr:pic macro="[0]!AutoVBA.PrintCurrent">
      <xdr:nvPicPr>
        <xdr:cNvPr id="147" name="PrintBtn19" descr="printbtn37.bmp">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3" cstate="print"/>
        <a:stretch>
          <a:fillRect/>
        </a:stretch>
      </xdr:blipFill>
      <xdr:spPr>
        <a:xfrm>
          <a:off x="42864" y="34701093"/>
          <a:ext cx="358961" cy="262189"/>
        </a:xfrm>
        <a:prstGeom prst="rect">
          <a:avLst/>
        </a:prstGeom>
      </xdr:spPr>
    </xdr:pic>
    <xdr:clientData fPrintsWithSheet="0"/>
  </xdr:twoCellAnchor>
  <xdr:twoCellAnchor editAs="oneCell">
    <xdr:from>
      <xdr:col>0</xdr:col>
      <xdr:colOff>42864</xdr:colOff>
      <xdr:row>314</xdr:row>
      <xdr:rowOff>95252</xdr:rowOff>
    </xdr:from>
    <xdr:to>
      <xdr:col>0</xdr:col>
      <xdr:colOff>401825</xdr:colOff>
      <xdr:row>315</xdr:row>
      <xdr:rowOff>159725</xdr:rowOff>
    </xdr:to>
    <xdr:pic macro="[0]!GotoPreviousAnalysis">
      <xdr:nvPicPr>
        <xdr:cNvPr id="148" name="PrevBtn30" descr="prevbtn37c.bmp">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4" cstate="print"/>
        <a:stretch>
          <a:fillRect/>
        </a:stretch>
      </xdr:blipFill>
      <xdr:spPr>
        <a:xfrm>
          <a:off x="42864" y="35020252"/>
          <a:ext cx="358961" cy="266518"/>
        </a:xfrm>
        <a:prstGeom prst="rect">
          <a:avLst/>
        </a:prstGeom>
      </xdr:spPr>
    </xdr:pic>
    <xdr:clientData fPrintsWithSheet="0"/>
  </xdr:twoCellAnchor>
  <xdr:twoCellAnchor editAs="oneCell">
    <xdr:from>
      <xdr:col>0</xdr:col>
      <xdr:colOff>42864</xdr:colOff>
      <xdr:row>316</xdr:row>
      <xdr:rowOff>28579</xdr:rowOff>
    </xdr:from>
    <xdr:to>
      <xdr:col>0</xdr:col>
      <xdr:colOff>401825</xdr:colOff>
      <xdr:row>317</xdr:row>
      <xdr:rowOff>93052</xdr:rowOff>
    </xdr:to>
    <xdr:pic macro="[0]!GotoNextAnalysis">
      <xdr:nvPicPr>
        <xdr:cNvPr id="149" name="NextBtn30" descr="nextbtn37c.bmp">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5" cstate="print"/>
        <a:stretch>
          <a:fillRect/>
        </a:stretch>
      </xdr:blipFill>
      <xdr:spPr>
        <a:xfrm>
          <a:off x="42864" y="35343238"/>
          <a:ext cx="358961" cy="266519"/>
        </a:xfrm>
        <a:prstGeom prst="rect">
          <a:avLst/>
        </a:prstGeom>
      </xdr:spPr>
    </xdr:pic>
    <xdr:clientData fPrintsWithSheet="0"/>
  </xdr:twoCellAnchor>
  <xdr:twoCellAnchor editAs="oneCell">
    <xdr:from>
      <xdr:col>0</xdr:col>
      <xdr:colOff>42864</xdr:colOff>
      <xdr:row>317</xdr:row>
      <xdr:rowOff>152402</xdr:rowOff>
    </xdr:from>
    <xdr:to>
      <xdr:col>0</xdr:col>
      <xdr:colOff>401825</xdr:colOff>
      <xdr:row>333</xdr:row>
      <xdr:rowOff>45425</xdr:rowOff>
    </xdr:to>
    <xdr:pic macro="[0]!GoHome">
      <xdr:nvPicPr>
        <xdr:cNvPr id="150" name="HomeBtn30" descr="homebtn37b.bmp">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6" cstate="print"/>
        <a:stretch>
          <a:fillRect/>
        </a:stretch>
      </xdr:blipFill>
      <xdr:spPr>
        <a:xfrm>
          <a:off x="42864" y="35669107"/>
          <a:ext cx="358961" cy="268250"/>
        </a:xfrm>
        <a:prstGeom prst="rect">
          <a:avLst/>
        </a:prstGeom>
      </xdr:spPr>
    </xdr:pic>
    <xdr:clientData fPrintsWithSheet="0"/>
  </xdr:twoCellAnchor>
  <xdr:twoCellAnchor editAs="oneCell">
    <xdr:from>
      <xdr:col>0</xdr:col>
      <xdr:colOff>42864</xdr:colOff>
      <xdr:row>333</xdr:row>
      <xdr:rowOff>102395</xdr:rowOff>
    </xdr:from>
    <xdr:to>
      <xdr:col>0</xdr:col>
      <xdr:colOff>401825</xdr:colOff>
      <xdr:row>335</xdr:row>
      <xdr:rowOff>43043</xdr:rowOff>
    </xdr:to>
    <xdr:pic macro="[0]!ShowGuide">
      <xdr:nvPicPr>
        <xdr:cNvPr id="151" name="HelpBtn30" descr="helpbtn37c.bmp">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7" cstate="print"/>
        <a:stretch>
          <a:fillRect/>
        </a:stretch>
      </xdr:blipFill>
      <xdr:spPr>
        <a:xfrm>
          <a:off x="42864" y="35994327"/>
          <a:ext cx="358961" cy="258148"/>
        </a:xfrm>
        <a:prstGeom prst="rect">
          <a:avLst/>
        </a:prstGeom>
      </xdr:spPr>
    </xdr:pic>
    <xdr:clientData fPrintsWithSheet="0"/>
  </xdr:twoCellAnchor>
  <xdr:twoCellAnchor editAs="oneCell">
    <xdr:from>
      <xdr:col>4</xdr:col>
      <xdr:colOff>247650</xdr:colOff>
      <xdr:row>315</xdr:row>
      <xdr:rowOff>11905</xdr:rowOff>
    </xdr:from>
    <xdr:to>
      <xdr:col>4</xdr:col>
      <xdr:colOff>428625</xdr:colOff>
      <xdr:row>315</xdr:row>
      <xdr:rowOff>183355</xdr:rowOff>
    </xdr:to>
    <xdr:pic macro="[0]!AnalysisRefresh">
      <xdr:nvPicPr>
        <xdr:cNvPr id="152" name="IncVarAnalysis3Btn" descr="analysisrefresh37.bmp">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8" cstate="print"/>
        <a:stretch>
          <a:fillRect/>
        </a:stretch>
      </xdr:blipFill>
      <xdr:spPr>
        <a:xfrm>
          <a:off x="2978150" y="35571905"/>
          <a:ext cx="180975" cy="171450"/>
        </a:xfrm>
        <a:prstGeom prst="rect">
          <a:avLst/>
        </a:prstGeom>
      </xdr:spPr>
    </xdr:pic>
    <xdr:clientData fPrintsWithSheet="0"/>
  </xdr:twoCellAnchor>
  <xdr:twoCellAnchor editAs="oneCell">
    <xdr:from>
      <xdr:col>0</xdr:col>
      <xdr:colOff>42864</xdr:colOff>
      <xdr:row>358</xdr:row>
      <xdr:rowOff>21433</xdr:rowOff>
    </xdr:from>
    <xdr:to>
      <xdr:col>0</xdr:col>
      <xdr:colOff>401825</xdr:colOff>
      <xdr:row>360</xdr:row>
      <xdr:rowOff>38281</xdr:rowOff>
    </xdr:to>
    <xdr:pic macro="[0]!AutoVBA.PrintCurrent">
      <xdr:nvPicPr>
        <xdr:cNvPr id="153" name="PrintBtn20" descr="printbtn37.bmp">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3" cstate="print"/>
        <a:stretch>
          <a:fillRect/>
        </a:stretch>
      </xdr:blipFill>
      <xdr:spPr>
        <a:xfrm>
          <a:off x="42864" y="39910978"/>
          <a:ext cx="358961" cy="262189"/>
        </a:xfrm>
        <a:prstGeom prst="rect">
          <a:avLst/>
        </a:prstGeom>
      </xdr:spPr>
    </xdr:pic>
    <xdr:clientData fPrintsWithSheet="0"/>
  </xdr:twoCellAnchor>
  <xdr:twoCellAnchor editAs="oneCell">
    <xdr:from>
      <xdr:col>0</xdr:col>
      <xdr:colOff>42864</xdr:colOff>
      <xdr:row>360</xdr:row>
      <xdr:rowOff>95251</xdr:rowOff>
    </xdr:from>
    <xdr:to>
      <xdr:col>0</xdr:col>
      <xdr:colOff>401825</xdr:colOff>
      <xdr:row>361</xdr:row>
      <xdr:rowOff>159724</xdr:rowOff>
    </xdr:to>
    <xdr:pic macro="[0]!GotoPreviousAnalysis">
      <xdr:nvPicPr>
        <xdr:cNvPr id="154" name="PrevBtn31" descr="prevbtn37c.bmp">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14" cstate="print"/>
        <a:stretch>
          <a:fillRect/>
        </a:stretch>
      </xdr:blipFill>
      <xdr:spPr>
        <a:xfrm>
          <a:off x="42864" y="40230137"/>
          <a:ext cx="358961" cy="266519"/>
        </a:xfrm>
        <a:prstGeom prst="rect">
          <a:avLst/>
        </a:prstGeom>
      </xdr:spPr>
    </xdr:pic>
    <xdr:clientData fPrintsWithSheet="0"/>
  </xdr:twoCellAnchor>
  <xdr:twoCellAnchor editAs="oneCell">
    <xdr:from>
      <xdr:col>0</xdr:col>
      <xdr:colOff>42864</xdr:colOff>
      <xdr:row>362</xdr:row>
      <xdr:rowOff>28577</xdr:rowOff>
    </xdr:from>
    <xdr:to>
      <xdr:col>0</xdr:col>
      <xdr:colOff>401825</xdr:colOff>
      <xdr:row>363</xdr:row>
      <xdr:rowOff>93050</xdr:rowOff>
    </xdr:to>
    <xdr:pic macro="[0]!GotoNextAnalysis">
      <xdr:nvPicPr>
        <xdr:cNvPr id="155" name="NextBtn31" descr="nextbtn37c.bmp">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5" cstate="print"/>
        <a:stretch>
          <a:fillRect/>
        </a:stretch>
      </xdr:blipFill>
      <xdr:spPr>
        <a:xfrm>
          <a:off x="42864" y="40553122"/>
          <a:ext cx="358961" cy="266519"/>
        </a:xfrm>
        <a:prstGeom prst="rect">
          <a:avLst/>
        </a:prstGeom>
      </xdr:spPr>
    </xdr:pic>
    <xdr:clientData fPrintsWithSheet="0"/>
  </xdr:twoCellAnchor>
  <xdr:twoCellAnchor editAs="oneCell">
    <xdr:from>
      <xdr:col>0</xdr:col>
      <xdr:colOff>42864</xdr:colOff>
      <xdr:row>363</xdr:row>
      <xdr:rowOff>145259</xdr:rowOff>
    </xdr:from>
    <xdr:to>
      <xdr:col>0</xdr:col>
      <xdr:colOff>401825</xdr:colOff>
      <xdr:row>379</xdr:row>
      <xdr:rowOff>38282</xdr:rowOff>
    </xdr:to>
    <xdr:pic macro="[0]!GoHome">
      <xdr:nvPicPr>
        <xdr:cNvPr id="156" name="HomeBtn31" descr="homebtn37b.bmp">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6" cstate="print"/>
        <a:stretch>
          <a:fillRect/>
        </a:stretch>
      </xdr:blipFill>
      <xdr:spPr>
        <a:xfrm>
          <a:off x="42864" y="40871850"/>
          <a:ext cx="358961" cy="268250"/>
        </a:xfrm>
        <a:prstGeom prst="rect">
          <a:avLst/>
        </a:prstGeom>
      </xdr:spPr>
    </xdr:pic>
    <xdr:clientData fPrintsWithSheet="0"/>
  </xdr:twoCellAnchor>
  <xdr:twoCellAnchor editAs="oneCell">
    <xdr:from>
      <xdr:col>0</xdr:col>
      <xdr:colOff>42864</xdr:colOff>
      <xdr:row>379</xdr:row>
      <xdr:rowOff>90490</xdr:rowOff>
    </xdr:from>
    <xdr:to>
      <xdr:col>0</xdr:col>
      <xdr:colOff>401825</xdr:colOff>
      <xdr:row>381</xdr:row>
      <xdr:rowOff>31138</xdr:rowOff>
    </xdr:to>
    <xdr:pic macro="[0]!ShowGuide">
      <xdr:nvPicPr>
        <xdr:cNvPr id="157" name="HelpBtn31" descr="helpbtn37c.bmp">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7" cstate="print"/>
        <a:stretch>
          <a:fillRect/>
        </a:stretch>
      </xdr:blipFill>
      <xdr:spPr>
        <a:xfrm>
          <a:off x="42864" y="41192308"/>
          <a:ext cx="358961" cy="258148"/>
        </a:xfrm>
        <a:prstGeom prst="rect">
          <a:avLst/>
        </a:prstGeom>
      </xdr:spPr>
    </xdr:pic>
    <xdr:clientData fPrintsWithSheet="0"/>
  </xdr:twoCellAnchor>
  <xdr:twoCellAnchor editAs="oneCell">
    <xdr:from>
      <xdr:col>4</xdr:col>
      <xdr:colOff>247650</xdr:colOff>
      <xdr:row>361</xdr:row>
      <xdr:rowOff>9525</xdr:rowOff>
    </xdr:from>
    <xdr:to>
      <xdr:col>4</xdr:col>
      <xdr:colOff>428625</xdr:colOff>
      <xdr:row>361</xdr:row>
      <xdr:rowOff>180975</xdr:rowOff>
    </xdr:to>
    <xdr:pic macro="[0]!AnalysisRefresh">
      <xdr:nvPicPr>
        <xdr:cNvPr id="158" name="IncVarAnalysis4Btn" descr="analysisrefresh37.bmp">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8" cstate="print"/>
        <a:stretch>
          <a:fillRect/>
        </a:stretch>
      </xdr:blipFill>
      <xdr:spPr>
        <a:xfrm>
          <a:off x="2978150" y="40922575"/>
          <a:ext cx="180975" cy="171450"/>
        </a:xfrm>
        <a:prstGeom prst="rect">
          <a:avLst/>
        </a:prstGeom>
      </xdr:spPr>
    </xdr:pic>
    <xdr:clientData fPrintsWithSheet="0"/>
  </xdr:twoCellAnchor>
  <xdr:twoCellAnchor editAs="oneCell">
    <xdr:from>
      <xdr:col>0</xdr:col>
      <xdr:colOff>42864</xdr:colOff>
      <xdr:row>404</xdr:row>
      <xdr:rowOff>26196</xdr:rowOff>
    </xdr:from>
    <xdr:to>
      <xdr:col>0</xdr:col>
      <xdr:colOff>401825</xdr:colOff>
      <xdr:row>406</xdr:row>
      <xdr:rowOff>43044</xdr:rowOff>
    </xdr:to>
    <xdr:pic macro="[0]!AutoVBA.PrintCurrent">
      <xdr:nvPicPr>
        <xdr:cNvPr id="159" name="PrintBtn21" descr="printbtn37.bmp">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3" cstate="print"/>
        <a:stretch>
          <a:fillRect/>
        </a:stretch>
      </xdr:blipFill>
      <xdr:spPr>
        <a:xfrm>
          <a:off x="42864" y="45125628"/>
          <a:ext cx="358961" cy="262189"/>
        </a:xfrm>
        <a:prstGeom prst="rect">
          <a:avLst/>
        </a:prstGeom>
      </xdr:spPr>
    </xdr:pic>
    <xdr:clientData fPrintsWithSheet="0"/>
  </xdr:twoCellAnchor>
  <xdr:twoCellAnchor editAs="oneCell">
    <xdr:from>
      <xdr:col>0</xdr:col>
      <xdr:colOff>42864</xdr:colOff>
      <xdr:row>406</xdr:row>
      <xdr:rowOff>100014</xdr:rowOff>
    </xdr:from>
    <xdr:to>
      <xdr:col>0</xdr:col>
      <xdr:colOff>401825</xdr:colOff>
      <xdr:row>407</xdr:row>
      <xdr:rowOff>164487</xdr:rowOff>
    </xdr:to>
    <xdr:pic macro="[0]!GotoPreviousAnalysis">
      <xdr:nvPicPr>
        <xdr:cNvPr id="160" name="PrevBtn32" descr="prevbtn37c.bmp">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4" cstate="print"/>
        <a:stretch>
          <a:fillRect/>
        </a:stretch>
      </xdr:blipFill>
      <xdr:spPr>
        <a:xfrm>
          <a:off x="42864" y="45444787"/>
          <a:ext cx="358961" cy="266518"/>
        </a:xfrm>
        <a:prstGeom prst="rect">
          <a:avLst/>
        </a:prstGeom>
      </xdr:spPr>
    </xdr:pic>
    <xdr:clientData fPrintsWithSheet="0"/>
  </xdr:twoCellAnchor>
  <xdr:twoCellAnchor editAs="oneCell">
    <xdr:from>
      <xdr:col>0</xdr:col>
      <xdr:colOff>42864</xdr:colOff>
      <xdr:row>408</xdr:row>
      <xdr:rowOff>28575</xdr:rowOff>
    </xdr:from>
    <xdr:to>
      <xdr:col>0</xdr:col>
      <xdr:colOff>401825</xdr:colOff>
      <xdr:row>409</xdr:row>
      <xdr:rowOff>93048</xdr:rowOff>
    </xdr:to>
    <xdr:pic macro="[0]!GotoNextAnalysis">
      <xdr:nvPicPr>
        <xdr:cNvPr id="161" name="NextBtn32" descr="nextbtn37c.bmp">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15" cstate="print"/>
        <a:stretch>
          <a:fillRect/>
        </a:stretch>
      </xdr:blipFill>
      <xdr:spPr>
        <a:xfrm>
          <a:off x="42864" y="45763007"/>
          <a:ext cx="358961" cy="266518"/>
        </a:xfrm>
        <a:prstGeom prst="rect">
          <a:avLst/>
        </a:prstGeom>
      </xdr:spPr>
    </xdr:pic>
    <xdr:clientData fPrintsWithSheet="0"/>
  </xdr:twoCellAnchor>
  <xdr:twoCellAnchor editAs="oneCell">
    <xdr:from>
      <xdr:col>0</xdr:col>
      <xdr:colOff>42864</xdr:colOff>
      <xdr:row>409</xdr:row>
      <xdr:rowOff>145257</xdr:rowOff>
    </xdr:from>
    <xdr:to>
      <xdr:col>0</xdr:col>
      <xdr:colOff>401825</xdr:colOff>
      <xdr:row>425</xdr:row>
      <xdr:rowOff>38280</xdr:rowOff>
    </xdr:to>
    <xdr:pic macro="[0]!GoHome">
      <xdr:nvPicPr>
        <xdr:cNvPr id="162" name="HomeBtn32" descr="homebtn37b.bmp">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6" cstate="print"/>
        <a:stretch>
          <a:fillRect/>
        </a:stretch>
      </xdr:blipFill>
      <xdr:spPr>
        <a:xfrm>
          <a:off x="42864" y="46081734"/>
          <a:ext cx="358961" cy="268251"/>
        </a:xfrm>
        <a:prstGeom prst="rect">
          <a:avLst/>
        </a:prstGeom>
      </xdr:spPr>
    </xdr:pic>
    <xdr:clientData fPrintsWithSheet="0"/>
  </xdr:twoCellAnchor>
  <xdr:twoCellAnchor editAs="oneCell">
    <xdr:from>
      <xdr:col>0</xdr:col>
      <xdr:colOff>42864</xdr:colOff>
      <xdr:row>425</xdr:row>
      <xdr:rowOff>90491</xdr:rowOff>
    </xdr:from>
    <xdr:to>
      <xdr:col>0</xdr:col>
      <xdr:colOff>401825</xdr:colOff>
      <xdr:row>427</xdr:row>
      <xdr:rowOff>31139</xdr:rowOff>
    </xdr:to>
    <xdr:pic macro="[0]!ShowGuide">
      <xdr:nvPicPr>
        <xdr:cNvPr id="163" name="HelpBtn32" descr="helpbtn37c.bmp">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7" cstate="print"/>
        <a:stretch>
          <a:fillRect/>
        </a:stretch>
      </xdr:blipFill>
      <xdr:spPr>
        <a:xfrm>
          <a:off x="42864" y="46402196"/>
          <a:ext cx="358961" cy="258148"/>
        </a:xfrm>
        <a:prstGeom prst="rect">
          <a:avLst/>
        </a:prstGeom>
      </xdr:spPr>
    </xdr:pic>
    <xdr:clientData fPrintsWithSheet="0"/>
  </xdr:twoCellAnchor>
  <xdr:twoCellAnchor editAs="oneCell">
    <xdr:from>
      <xdr:col>4</xdr:col>
      <xdr:colOff>247650</xdr:colOff>
      <xdr:row>407</xdr:row>
      <xdr:rowOff>11908</xdr:rowOff>
    </xdr:from>
    <xdr:to>
      <xdr:col>4</xdr:col>
      <xdr:colOff>428625</xdr:colOff>
      <xdr:row>407</xdr:row>
      <xdr:rowOff>183358</xdr:rowOff>
    </xdr:to>
    <xdr:pic macro="[0]!AnalysisRefresh">
      <xdr:nvPicPr>
        <xdr:cNvPr id="164" name="IncVarAnalysis5Btn" descr="analysisrefresh37.bmp">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8" cstate="print"/>
        <a:stretch>
          <a:fillRect/>
        </a:stretch>
      </xdr:blipFill>
      <xdr:spPr>
        <a:xfrm>
          <a:off x="2978150" y="46278008"/>
          <a:ext cx="180975" cy="171450"/>
        </a:xfrm>
        <a:prstGeom prst="rect">
          <a:avLst/>
        </a:prstGeom>
      </xdr:spPr>
    </xdr:pic>
    <xdr:clientData fPrintsWithSheet="0"/>
  </xdr:twoCellAnchor>
  <xdr:twoCellAnchor editAs="oneCell">
    <xdr:from>
      <xdr:col>0</xdr:col>
      <xdr:colOff>42864</xdr:colOff>
      <xdr:row>450</xdr:row>
      <xdr:rowOff>30958</xdr:rowOff>
    </xdr:from>
    <xdr:to>
      <xdr:col>0</xdr:col>
      <xdr:colOff>401825</xdr:colOff>
      <xdr:row>452</xdr:row>
      <xdr:rowOff>47806</xdr:rowOff>
    </xdr:to>
    <xdr:pic macro="[0]!AutoVBA.PrintCurrent">
      <xdr:nvPicPr>
        <xdr:cNvPr id="165" name="PrintBtn22" descr="printbtn37.bmp">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13" cstate="print"/>
        <a:stretch>
          <a:fillRect/>
        </a:stretch>
      </xdr:blipFill>
      <xdr:spPr>
        <a:xfrm>
          <a:off x="42864" y="50340276"/>
          <a:ext cx="358961" cy="262189"/>
        </a:xfrm>
        <a:prstGeom prst="rect">
          <a:avLst/>
        </a:prstGeom>
      </xdr:spPr>
    </xdr:pic>
    <xdr:clientData fPrintsWithSheet="0"/>
  </xdr:twoCellAnchor>
  <xdr:twoCellAnchor editAs="oneCell">
    <xdr:from>
      <xdr:col>0</xdr:col>
      <xdr:colOff>42864</xdr:colOff>
      <xdr:row>452</xdr:row>
      <xdr:rowOff>102393</xdr:rowOff>
    </xdr:from>
    <xdr:to>
      <xdr:col>0</xdr:col>
      <xdr:colOff>401825</xdr:colOff>
      <xdr:row>453</xdr:row>
      <xdr:rowOff>166866</xdr:rowOff>
    </xdr:to>
    <xdr:pic macro="[0]!GotoPreviousAnalysis">
      <xdr:nvPicPr>
        <xdr:cNvPr id="166" name="PrevBtn33" descr="prevbtn37c.bmp">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14" cstate="print"/>
        <a:stretch>
          <a:fillRect/>
        </a:stretch>
      </xdr:blipFill>
      <xdr:spPr>
        <a:xfrm>
          <a:off x="42864" y="50657052"/>
          <a:ext cx="358961" cy="266519"/>
        </a:xfrm>
        <a:prstGeom prst="rect">
          <a:avLst/>
        </a:prstGeom>
      </xdr:spPr>
    </xdr:pic>
    <xdr:clientData fPrintsWithSheet="0"/>
  </xdr:twoCellAnchor>
  <xdr:twoCellAnchor editAs="oneCell">
    <xdr:from>
      <xdr:col>0</xdr:col>
      <xdr:colOff>42864</xdr:colOff>
      <xdr:row>454</xdr:row>
      <xdr:rowOff>30959</xdr:rowOff>
    </xdr:from>
    <xdr:to>
      <xdr:col>0</xdr:col>
      <xdr:colOff>401825</xdr:colOff>
      <xdr:row>455</xdr:row>
      <xdr:rowOff>95432</xdr:rowOff>
    </xdr:to>
    <xdr:pic macro="[0]!GotoNextAnalysis">
      <xdr:nvPicPr>
        <xdr:cNvPr id="167" name="NextBtn33" descr="nextbtn37c.bmp">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5" cstate="print"/>
        <a:stretch>
          <a:fillRect/>
        </a:stretch>
      </xdr:blipFill>
      <xdr:spPr>
        <a:xfrm>
          <a:off x="42864" y="50975277"/>
          <a:ext cx="358961" cy="266519"/>
        </a:xfrm>
        <a:prstGeom prst="rect">
          <a:avLst/>
        </a:prstGeom>
      </xdr:spPr>
    </xdr:pic>
    <xdr:clientData fPrintsWithSheet="0"/>
  </xdr:twoCellAnchor>
  <xdr:twoCellAnchor editAs="oneCell">
    <xdr:from>
      <xdr:col>0</xdr:col>
      <xdr:colOff>42864</xdr:colOff>
      <xdr:row>455</xdr:row>
      <xdr:rowOff>145258</xdr:rowOff>
    </xdr:from>
    <xdr:to>
      <xdr:col>0</xdr:col>
      <xdr:colOff>401825</xdr:colOff>
      <xdr:row>471</xdr:row>
      <xdr:rowOff>38281</xdr:rowOff>
    </xdr:to>
    <xdr:pic macro="[0]!GoHome">
      <xdr:nvPicPr>
        <xdr:cNvPr id="168" name="HomeBtn33" descr="homebtn37b.bmp">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6" cstate="print"/>
        <a:stretch>
          <a:fillRect/>
        </a:stretch>
      </xdr:blipFill>
      <xdr:spPr>
        <a:xfrm>
          <a:off x="42864" y="51291622"/>
          <a:ext cx="358961" cy="268250"/>
        </a:xfrm>
        <a:prstGeom prst="rect">
          <a:avLst/>
        </a:prstGeom>
      </xdr:spPr>
    </xdr:pic>
    <xdr:clientData fPrintsWithSheet="0"/>
  </xdr:twoCellAnchor>
  <xdr:twoCellAnchor editAs="oneCell">
    <xdr:from>
      <xdr:col>0</xdr:col>
      <xdr:colOff>42864</xdr:colOff>
      <xdr:row>471</xdr:row>
      <xdr:rowOff>90489</xdr:rowOff>
    </xdr:from>
    <xdr:to>
      <xdr:col>0</xdr:col>
      <xdr:colOff>401825</xdr:colOff>
      <xdr:row>473</xdr:row>
      <xdr:rowOff>31137</xdr:rowOff>
    </xdr:to>
    <xdr:pic macro="[0]!ShowGuide">
      <xdr:nvPicPr>
        <xdr:cNvPr id="169" name="HelpBtn33" descr="helpbtn37c.bmp">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7" cstate="print"/>
        <a:stretch>
          <a:fillRect/>
        </a:stretch>
      </xdr:blipFill>
      <xdr:spPr>
        <a:xfrm>
          <a:off x="42864" y="51612080"/>
          <a:ext cx="358961" cy="258148"/>
        </a:xfrm>
        <a:prstGeom prst="rect">
          <a:avLst/>
        </a:prstGeom>
      </xdr:spPr>
    </xdr:pic>
    <xdr:clientData fPrintsWithSheet="0"/>
  </xdr:twoCellAnchor>
  <xdr:twoCellAnchor editAs="oneCell">
    <xdr:from>
      <xdr:col>4</xdr:col>
      <xdr:colOff>247650</xdr:colOff>
      <xdr:row>453</xdr:row>
      <xdr:rowOff>11906</xdr:rowOff>
    </xdr:from>
    <xdr:to>
      <xdr:col>4</xdr:col>
      <xdr:colOff>428625</xdr:colOff>
      <xdr:row>453</xdr:row>
      <xdr:rowOff>183356</xdr:rowOff>
    </xdr:to>
    <xdr:pic macro="[0]!AnalysisRefresh">
      <xdr:nvPicPr>
        <xdr:cNvPr id="170" name="IncVarAnalysis6Btn" descr="analysisrefresh37.bmp">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18" cstate="print"/>
        <a:stretch>
          <a:fillRect/>
        </a:stretch>
      </xdr:blipFill>
      <xdr:spPr>
        <a:xfrm>
          <a:off x="2978150" y="51631056"/>
          <a:ext cx="180975" cy="171450"/>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222</xdr:row>
          <xdr:rowOff>0</xdr:rowOff>
        </xdr:from>
        <xdr:to>
          <xdr:col>10</xdr:col>
          <xdr:colOff>0</xdr:colOff>
          <xdr:row>223</xdr:row>
          <xdr:rowOff>0</xdr:rowOff>
        </xdr:to>
        <xdr:sp macro="" textlink="">
          <xdr:nvSpPr>
            <xdr:cNvPr id="4097" name="VariableDD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224</xdr:row>
          <xdr:rowOff>0</xdr:rowOff>
        </xdr:from>
        <xdr:to>
          <xdr:col>5</xdr:col>
          <xdr:colOff>0</xdr:colOff>
          <xdr:row>225</xdr:row>
          <xdr:rowOff>0</xdr:rowOff>
        </xdr:to>
        <xdr:sp macro="" textlink="">
          <xdr:nvSpPr>
            <xdr:cNvPr id="4098" name="ValuePeriodDD1"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77</xdr:row>
          <xdr:rowOff>0</xdr:rowOff>
        </xdr:from>
        <xdr:to>
          <xdr:col>5</xdr:col>
          <xdr:colOff>0</xdr:colOff>
          <xdr:row>78</xdr:row>
          <xdr:rowOff>0</xdr:rowOff>
        </xdr:to>
        <xdr:sp macro="" textlink="">
          <xdr:nvSpPr>
            <xdr:cNvPr id="4099" name="AFinYearDD01"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255</xdr:row>
          <xdr:rowOff>0</xdr:rowOff>
        </xdr:from>
        <xdr:to>
          <xdr:col>5</xdr:col>
          <xdr:colOff>0</xdr:colOff>
          <xdr:row>256</xdr:row>
          <xdr:rowOff>0</xdr:rowOff>
        </xdr:to>
        <xdr:sp macro="" textlink="">
          <xdr:nvSpPr>
            <xdr:cNvPr id="4100" name="AFinYearDD05"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121</xdr:row>
          <xdr:rowOff>0</xdr:rowOff>
        </xdr:from>
        <xdr:to>
          <xdr:col>5</xdr:col>
          <xdr:colOff>0</xdr:colOff>
          <xdr:row>122</xdr:row>
          <xdr:rowOff>0</xdr:rowOff>
        </xdr:to>
        <xdr:sp macro="" textlink="">
          <xdr:nvSpPr>
            <xdr:cNvPr id="4101" name="AFinYearDD02"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165</xdr:row>
          <xdr:rowOff>0</xdr:rowOff>
        </xdr:from>
        <xdr:to>
          <xdr:col>5</xdr:col>
          <xdr:colOff>0</xdr:colOff>
          <xdr:row>166</xdr:row>
          <xdr:rowOff>0</xdr:rowOff>
        </xdr:to>
        <xdr:sp macro="" textlink="">
          <xdr:nvSpPr>
            <xdr:cNvPr id="4102" name="AFinYearDD03"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5</xdr:col>
          <xdr:colOff>0</xdr:colOff>
          <xdr:row>48</xdr:row>
          <xdr:rowOff>0</xdr:rowOff>
        </xdr:to>
        <xdr:sp macro="" textlink="">
          <xdr:nvSpPr>
            <xdr:cNvPr id="4103" name="AFactorDD1"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5</xdr:col>
          <xdr:colOff>0</xdr:colOff>
          <xdr:row>92</xdr:row>
          <xdr:rowOff>0</xdr:rowOff>
        </xdr:to>
        <xdr:sp macro="" textlink="">
          <xdr:nvSpPr>
            <xdr:cNvPr id="4104" name="AFactorDD2"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5</xdr:col>
          <xdr:colOff>0</xdr:colOff>
          <xdr:row>136</xdr:row>
          <xdr:rowOff>0</xdr:rowOff>
        </xdr:to>
        <xdr:sp macro="" textlink="">
          <xdr:nvSpPr>
            <xdr:cNvPr id="4105" name="AFactorDD3"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209</xdr:row>
          <xdr:rowOff>0</xdr:rowOff>
        </xdr:from>
        <xdr:to>
          <xdr:col>5</xdr:col>
          <xdr:colOff>0</xdr:colOff>
          <xdr:row>210</xdr:row>
          <xdr:rowOff>0</xdr:rowOff>
        </xdr:to>
        <xdr:sp macro="" textlink="">
          <xdr:nvSpPr>
            <xdr:cNvPr id="4106" name="AFinYearDD04"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179</xdr:row>
          <xdr:rowOff>0</xdr:rowOff>
        </xdr:from>
        <xdr:to>
          <xdr:col>5</xdr:col>
          <xdr:colOff>0</xdr:colOff>
          <xdr:row>180</xdr:row>
          <xdr:rowOff>0</xdr:rowOff>
        </xdr:to>
        <xdr:sp macro="" textlink="">
          <xdr:nvSpPr>
            <xdr:cNvPr id="4107" name="AFactorDD4"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225</xdr:row>
          <xdr:rowOff>0</xdr:rowOff>
        </xdr:from>
        <xdr:to>
          <xdr:col>5</xdr:col>
          <xdr:colOff>0</xdr:colOff>
          <xdr:row>226</xdr:row>
          <xdr:rowOff>0</xdr:rowOff>
        </xdr:to>
        <xdr:sp macro="" textlink="">
          <xdr:nvSpPr>
            <xdr:cNvPr id="4108" name="AFactorDD5"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5</xdr:col>
          <xdr:colOff>0</xdr:colOff>
          <xdr:row>9</xdr:row>
          <xdr:rowOff>0</xdr:rowOff>
        </xdr:to>
        <xdr:sp macro="" textlink="">
          <xdr:nvSpPr>
            <xdr:cNvPr id="4109" name="AFactorDD6"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5</xdr:col>
          <xdr:colOff>0</xdr:colOff>
          <xdr:row>79</xdr:row>
          <xdr:rowOff>0</xdr:rowOff>
        </xdr:to>
        <xdr:sp macro="" textlink="">
          <xdr:nvSpPr>
            <xdr:cNvPr id="4110" name="A01RatioDD01"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5</xdr:col>
          <xdr:colOff>0</xdr:colOff>
          <xdr:row>80</xdr:row>
          <xdr:rowOff>0</xdr:rowOff>
        </xdr:to>
        <xdr:sp macro="" textlink="">
          <xdr:nvSpPr>
            <xdr:cNvPr id="4111" name="A01RatioDD02"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5</xdr:col>
          <xdr:colOff>0</xdr:colOff>
          <xdr:row>81</xdr:row>
          <xdr:rowOff>0</xdr:rowOff>
        </xdr:to>
        <xdr:sp macro="" textlink="">
          <xdr:nvSpPr>
            <xdr:cNvPr id="4112" name="A01RatioDD03"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5</xdr:col>
          <xdr:colOff>0</xdr:colOff>
          <xdr:row>82</xdr:row>
          <xdr:rowOff>0</xdr:rowOff>
        </xdr:to>
        <xdr:sp macro="" textlink="">
          <xdr:nvSpPr>
            <xdr:cNvPr id="4113" name="A01RatioDD04" hidden="1">
              <a:extLst>
                <a:ext uri="{63B3BB69-23CF-44E3-9099-C40C66FF867C}">
                  <a14:compatExt spid="_x0000_s4113"/>
                </a:ext>
                <a:ext uri="{FF2B5EF4-FFF2-40B4-BE49-F238E27FC236}">
                  <a16:creationId xmlns:a16="http://schemas.microsoft.com/office/drawing/2014/main" id="{00000000-0008-0000-0400-00001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0</xdr:rowOff>
        </xdr:from>
        <xdr:to>
          <xdr:col>5</xdr:col>
          <xdr:colOff>0</xdr:colOff>
          <xdr:row>83</xdr:row>
          <xdr:rowOff>0</xdr:rowOff>
        </xdr:to>
        <xdr:sp macro="" textlink="">
          <xdr:nvSpPr>
            <xdr:cNvPr id="4114" name="A01RatioDD05" hidden="1">
              <a:extLst>
                <a:ext uri="{63B3BB69-23CF-44E3-9099-C40C66FF867C}">
                  <a14:compatExt spid="_x0000_s4114"/>
                </a:ext>
                <a:ext uri="{FF2B5EF4-FFF2-40B4-BE49-F238E27FC236}">
                  <a16:creationId xmlns:a16="http://schemas.microsoft.com/office/drawing/2014/main" id="{00000000-0008-0000-0400-00001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5</xdr:col>
          <xdr:colOff>0</xdr:colOff>
          <xdr:row>84</xdr:row>
          <xdr:rowOff>0</xdr:rowOff>
        </xdr:to>
        <xdr:sp macro="" textlink="">
          <xdr:nvSpPr>
            <xdr:cNvPr id="4115" name="A01RatioDD06" hidden="1">
              <a:extLst>
                <a:ext uri="{63B3BB69-23CF-44E3-9099-C40C66FF867C}">
                  <a14:compatExt spid="_x0000_s4115"/>
                </a:ext>
                <a:ext uri="{FF2B5EF4-FFF2-40B4-BE49-F238E27FC236}">
                  <a16:creationId xmlns:a16="http://schemas.microsoft.com/office/drawing/2014/main" id="{00000000-0008-0000-0400-00001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5</xdr:col>
          <xdr:colOff>0</xdr:colOff>
          <xdr:row>123</xdr:row>
          <xdr:rowOff>0</xdr:rowOff>
        </xdr:to>
        <xdr:sp macro="" textlink="">
          <xdr:nvSpPr>
            <xdr:cNvPr id="4116" name="A02RatioDD01" hidden="1">
              <a:extLst>
                <a:ext uri="{63B3BB69-23CF-44E3-9099-C40C66FF867C}">
                  <a14:compatExt spid="_x0000_s4116"/>
                </a:ext>
                <a:ext uri="{FF2B5EF4-FFF2-40B4-BE49-F238E27FC236}">
                  <a16:creationId xmlns:a16="http://schemas.microsoft.com/office/drawing/2014/main" id="{00000000-0008-0000-0400-00001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xdr:row>
          <xdr:rowOff>0</xdr:rowOff>
        </xdr:from>
        <xdr:to>
          <xdr:col>5</xdr:col>
          <xdr:colOff>0</xdr:colOff>
          <xdr:row>124</xdr:row>
          <xdr:rowOff>0</xdr:rowOff>
        </xdr:to>
        <xdr:sp macro="" textlink="">
          <xdr:nvSpPr>
            <xdr:cNvPr id="4117" name="A02RatioDD02" hidden="1">
              <a:extLst>
                <a:ext uri="{63B3BB69-23CF-44E3-9099-C40C66FF867C}">
                  <a14:compatExt spid="_x0000_s4117"/>
                </a:ext>
                <a:ext uri="{FF2B5EF4-FFF2-40B4-BE49-F238E27FC236}">
                  <a16:creationId xmlns:a16="http://schemas.microsoft.com/office/drawing/2014/main" id="{00000000-0008-0000-0400-00001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xdr:row>
          <xdr:rowOff>0</xdr:rowOff>
        </xdr:from>
        <xdr:to>
          <xdr:col>5</xdr:col>
          <xdr:colOff>0</xdr:colOff>
          <xdr:row>125</xdr:row>
          <xdr:rowOff>0</xdr:rowOff>
        </xdr:to>
        <xdr:sp macro="" textlink="">
          <xdr:nvSpPr>
            <xdr:cNvPr id="4118" name="A02RatioDD03" hidden="1">
              <a:extLst>
                <a:ext uri="{63B3BB69-23CF-44E3-9099-C40C66FF867C}">
                  <a14:compatExt spid="_x0000_s4118"/>
                </a:ext>
                <a:ext uri="{FF2B5EF4-FFF2-40B4-BE49-F238E27FC236}">
                  <a16:creationId xmlns:a16="http://schemas.microsoft.com/office/drawing/2014/main" id="{00000000-0008-0000-0400-00001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5</xdr:col>
          <xdr:colOff>0</xdr:colOff>
          <xdr:row>126</xdr:row>
          <xdr:rowOff>0</xdr:rowOff>
        </xdr:to>
        <xdr:sp macro="" textlink="">
          <xdr:nvSpPr>
            <xdr:cNvPr id="4119" name="A02RatioDD04" hidden="1">
              <a:extLst>
                <a:ext uri="{63B3BB69-23CF-44E3-9099-C40C66FF867C}">
                  <a14:compatExt spid="_x0000_s4119"/>
                </a:ext>
                <a:ext uri="{FF2B5EF4-FFF2-40B4-BE49-F238E27FC236}">
                  <a16:creationId xmlns:a16="http://schemas.microsoft.com/office/drawing/2014/main" id="{00000000-0008-0000-0400-00001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5</xdr:col>
          <xdr:colOff>0</xdr:colOff>
          <xdr:row>127</xdr:row>
          <xdr:rowOff>0</xdr:rowOff>
        </xdr:to>
        <xdr:sp macro="" textlink="">
          <xdr:nvSpPr>
            <xdr:cNvPr id="4120" name="A02RatioDD05" hidden="1">
              <a:extLst>
                <a:ext uri="{63B3BB69-23CF-44E3-9099-C40C66FF867C}">
                  <a14:compatExt spid="_x0000_s4120"/>
                </a:ext>
                <a:ext uri="{FF2B5EF4-FFF2-40B4-BE49-F238E27FC236}">
                  <a16:creationId xmlns:a16="http://schemas.microsoft.com/office/drawing/2014/main" id="{00000000-0008-0000-0400-00001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0</xdr:rowOff>
        </xdr:from>
        <xdr:to>
          <xdr:col>5</xdr:col>
          <xdr:colOff>0</xdr:colOff>
          <xdr:row>128</xdr:row>
          <xdr:rowOff>0</xdr:rowOff>
        </xdr:to>
        <xdr:sp macro="" textlink="">
          <xdr:nvSpPr>
            <xdr:cNvPr id="4121" name="A02RatioDD06" hidden="1">
              <a:extLst>
                <a:ext uri="{63B3BB69-23CF-44E3-9099-C40C66FF867C}">
                  <a14:compatExt spid="_x0000_s4121"/>
                </a:ext>
                <a:ext uri="{FF2B5EF4-FFF2-40B4-BE49-F238E27FC236}">
                  <a16:creationId xmlns:a16="http://schemas.microsoft.com/office/drawing/2014/main" id="{00000000-0008-0000-0400-00001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0</xdr:rowOff>
        </xdr:from>
        <xdr:to>
          <xdr:col>5</xdr:col>
          <xdr:colOff>0</xdr:colOff>
          <xdr:row>167</xdr:row>
          <xdr:rowOff>0</xdr:rowOff>
        </xdr:to>
        <xdr:sp macro="" textlink="">
          <xdr:nvSpPr>
            <xdr:cNvPr id="4122" name="A03RatioDD01" hidden="1">
              <a:extLst>
                <a:ext uri="{63B3BB69-23CF-44E3-9099-C40C66FF867C}">
                  <a14:compatExt spid="_x0000_s4122"/>
                </a:ext>
                <a:ext uri="{FF2B5EF4-FFF2-40B4-BE49-F238E27FC236}">
                  <a16:creationId xmlns:a16="http://schemas.microsoft.com/office/drawing/2014/main" id="{00000000-0008-0000-0400-00001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0</xdr:rowOff>
        </xdr:from>
        <xdr:to>
          <xdr:col>5</xdr:col>
          <xdr:colOff>0</xdr:colOff>
          <xdr:row>168</xdr:row>
          <xdr:rowOff>0</xdr:rowOff>
        </xdr:to>
        <xdr:sp macro="" textlink="">
          <xdr:nvSpPr>
            <xdr:cNvPr id="4123" name="A03RatioDD02" hidden="1">
              <a:extLst>
                <a:ext uri="{63B3BB69-23CF-44E3-9099-C40C66FF867C}">
                  <a14:compatExt spid="_x0000_s4123"/>
                </a:ext>
                <a:ext uri="{FF2B5EF4-FFF2-40B4-BE49-F238E27FC236}">
                  <a16:creationId xmlns:a16="http://schemas.microsoft.com/office/drawing/2014/main" id="{00000000-0008-0000-0400-00001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0</xdr:rowOff>
        </xdr:from>
        <xdr:to>
          <xdr:col>5</xdr:col>
          <xdr:colOff>0</xdr:colOff>
          <xdr:row>169</xdr:row>
          <xdr:rowOff>0</xdr:rowOff>
        </xdr:to>
        <xdr:sp macro="" textlink="">
          <xdr:nvSpPr>
            <xdr:cNvPr id="4124" name="A03RatioDD03" hidden="1">
              <a:extLst>
                <a:ext uri="{63B3BB69-23CF-44E3-9099-C40C66FF867C}">
                  <a14:compatExt spid="_x0000_s4124"/>
                </a:ext>
                <a:ext uri="{FF2B5EF4-FFF2-40B4-BE49-F238E27FC236}">
                  <a16:creationId xmlns:a16="http://schemas.microsoft.com/office/drawing/2014/main" id="{00000000-0008-0000-0400-00001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169</xdr:row>
          <xdr:rowOff>0</xdr:rowOff>
        </xdr:from>
        <xdr:to>
          <xdr:col>5</xdr:col>
          <xdr:colOff>0</xdr:colOff>
          <xdr:row>170</xdr:row>
          <xdr:rowOff>0</xdr:rowOff>
        </xdr:to>
        <xdr:sp macro="" textlink="">
          <xdr:nvSpPr>
            <xdr:cNvPr id="4125" name="A03RatioDD04" hidden="1">
              <a:extLst>
                <a:ext uri="{63B3BB69-23CF-44E3-9099-C40C66FF867C}">
                  <a14:compatExt spid="_x0000_s4125"/>
                </a:ext>
                <a:ext uri="{FF2B5EF4-FFF2-40B4-BE49-F238E27FC236}">
                  <a16:creationId xmlns:a16="http://schemas.microsoft.com/office/drawing/2014/main" id="{00000000-0008-0000-0400-00001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0</xdr:rowOff>
        </xdr:from>
        <xdr:to>
          <xdr:col>5</xdr:col>
          <xdr:colOff>0</xdr:colOff>
          <xdr:row>171</xdr:row>
          <xdr:rowOff>0</xdr:rowOff>
        </xdr:to>
        <xdr:sp macro="" textlink="">
          <xdr:nvSpPr>
            <xdr:cNvPr id="4126" name="A03RatioDD05" hidden="1">
              <a:extLst>
                <a:ext uri="{63B3BB69-23CF-44E3-9099-C40C66FF867C}">
                  <a14:compatExt spid="_x0000_s4126"/>
                </a:ext>
                <a:ext uri="{FF2B5EF4-FFF2-40B4-BE49-F238E27FC236}">
                  <a16:creationId xmlns:a16="http://schemas.microsoft.com/office/drawing/2014/main" id="{00000000-0008-0000-0400-00001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171</xdr:row>
          <xdr:rowOff>0</xdr:rowOff>
        </xdr:from>
        <xdr:to>
          <xdr:col>5</xdr:col>
          <xdr:colOff>0</xdr:colOff>
          <xdr:row>172</xdr:row>
          <xdr:rowOff>0</xdr:rowOff>
        </xdr:to>
        <xdr:sp macro="" textlink="">
          <xdr:nvSpPr>
            <xdr:cNvPr id="4127" name="A03RatioDD06" hidden="1">
              <a:extLst>
                <a:ext uri="{63B3BB69-23CF-44E3-9099-C40C66FF867C}">
                  <a14:compatExt spid="_x0000_s4127"/>
                </a:ext>
                <a:ext uri="{FF2B5EF4-FFF2-40B4-BE49-F238E27FC236}">
                  <a16:creationId xmlns:a16="http://schemas.microsoft.com/office/drawing/2014/main" id="{00000000-0008-0000-0400-00001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210</xdr:row>
          <xdr:rowOff>0</xdr:rowOff>
        </xdr:from>
        <xdr:to>
          <xdr:col>5</xdr:col>
          <xdr:colOff>0</xdr:colOff>
          <xdr:row>211</xdr:row>
          <xdr:rowOff>0</xdr:rowOff>
        </xdr:to>
        <xdr:sp macro="" textlink="">
          <xdr:nvSpPr>
            <xdr:cNvPr id="4128" name="A04RatioDD01" hidden="1">
              <a:extLst>
                <a:ext uri="{63B3BB69-23CF-44E3-9099-C40C66FF867C}">
                  <a14:compatExt spid="_x0000_s4128"/>
                </a:ext>
                <a:ext uri="{FF2B5EF4-FFF2-40B4-BE49-F238E27FC236}">
                  <a16:creationId xmlns:a16="http://schemas.microsoft.com/office/drawing/2014/main" id="{00000000-0008-0000-0400-00002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211</xdr:row>
          <xdr:rowOff>0</xdr:rowOff>
        </xdr:from>
        <xdr:to>
          <xdr:col>5</xdr:col>
          <xdr:colOff>0</xdr:colOff>
          <xdr:row>212</xdr:row>
          <xdr:rowOff>0</xdr:rowOff>
        </xdr:to>
        <xdr:sp macro="" textlink="">
          <xdr:nvSpPr>
            <xdr:cNvPr id="4129" name="A04RatioDD02" hidden="1">
              <a:extLst>
                <a:ext uri="{63B3BB69-23CF-44E3-9099-C40C66FF867C}">
                  <a14:compatExt spid="_x0000_s4129"/>
                </a:ext>
                <a:ext uri="{FF2B5EF4-FFF2-40B4-BE49-F238E27FC236}">
                  <a16:creationId xmlns:a16="http://schemas.microsoft.com/office/drawing/2014/main" id="{00000000-0008-0000-0400-00002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212</xdr:row>
          <xdr:rowOff>0</xdr:rowOff>
        </xdr:from>
        <xdr:to>
          <xdr:col>5</xdr:col>
          <xdr:colOff>0</xdr:colOff>
          <xdr:row>213</xdr:row>
          <xdr:rowOff>0</xdr:rowOff>
        </xdr:to>
        <xdr:sp macro="" textlink="">
          <xdr:nvSpPr>
            <xdr:cNvPr id="4130" name="A04RatioDD03" hidden="1">
              <a:extLst>
                <a:ext uri="{63B3BB69-23CF-44E3-9099-C40C66FF867C}">
                  <a14:compatExt spid="_x0000_s4130"/>
                </a:ext>
                <a:ext uri="{FF2B5EF4-FFF2-40B4-BE49-F238E27FC236}">
                  <a16:creationId xmlns:a16="http://schemas.microsoft.com/office/drawing/2014/main" id="{00000000-0008-0000-0400-00002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213</xdr:row>
          <xdr:rowOff>0</xdr:rowOff>
        </xdr:from>
        <xdr:to>
          <xdr:col>5</xdr:col>
          <xdr:colOff>0</xdr:colOff>
          <xdr:row>214</xdr:row>
          <xdr:rowOff>0</xdr:rowOff>
        </xdr:to>
        <xdr:sp macro="" textlink="">
          <xdr:nvSpPr>
            <xdr:cNvPr id="4131" name="A04RatioDD04" hidden="1">
              <a:extLst>
                <a:ext uri="{63B3BB69-23CF-44E3-9099-C40C66FF867C}">
                  <a14:compatExt spid="_x0000_s4131"/>
                </a:ext>
                <a:ext uri="{FF2B5EF4-FFF2-40B4-BE49-F238E27FC236}">
                  <a16:creationId xmlns:a16="http://schemas.microsoft.com/office/drawing/2014/main" id="{00000000-0008-0000-0400-00002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5</xdr:col>
          <xdr:colOff>0</xdr:colOff>
          <xdr:row>215</xdr:row>
          <xdr:rowOff>0</xdr:rowOff>
        </xdr:to>
        <xdr:sp macro="" textlink="">
          <xdr:nvSpPr>
            <xdr:cNvPr id="4132" name="A04RatioDD05" hidden="1">
              <a:extLst>
                <a:ext uri="{63B3BB69-23CF-44E3-9099-C40C66FF867C}">
                  <a14:compatExt spid="_x0000_s4132"/>
                </a:ext>
                <a:ext uri="{FF2B5EF4-FFF2-40B4-BE49-F238E27FC236}">
                  <a16:creationId xmlns:a16="http://schemas.microsoft.com/office/drawing/2014/main" id="{00000000-0008-0000-0400-00002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5</xdr:col>
          <xdr:colOff>0</xdr:colOff>
          <xdr:row>216</xdr:row>
          <xdr:rowOff>0</xdr:rowOff>
        </xdr:to>
        <xdr:sp macro="" textlink="">
          <xdr:nvSpPr>
            <xdr:cNvPr id="4133" name="A04RatioDD06" hidden="1">
              <a:extLst>
                <a:ext uri="{63B3BB69-23CF-44E3-9099-C40C66FF867C}">
                  <a14:compatExt spid="_x0000_s4133"/>
                </a:ext>
                <a:ext uri="{FF2B5EF4-FFF2-40B4-BE49-F238E27FC236}">
                  <a16:creationId xmlns:a16="http://schemas.microsoft.com/office/drawing/2014/main" id="{00000000-0008-0000-0400-00002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256</xdr:row>
          <xdr:rowOff>0</xdr:rowOff>
        </xdr:from>
        <xdr:to>
          <xdr:col>5</xdr:col>
          <xdr:colOff>0</xdr:colOff>
          <xdr:row>257</xdr:row>
          <xdr:rowOff>0</xdr:rowOff>
        </xdr:to>
        <xdr:sp macro="" textlink="">
          <xdr:nvSpPr>
            <xdr:cNvPr id="4134" name="A05RatioDD01" hidden="1">
              <a:extLst>
                <a:ext uri="{63B3BB69-23CF-44E3-9099-C40C66FF867C}">
                  <a14:compatExt spid="_x0000_s4134"/>
                </a:ext>
                <a:ext uri="{FF2B5EF4-FFF2-40B4-BE49-F238E27FC236}">
                  <a16:creationId xmlns:a16="http://schemas.microsoft.com/office/drawing/2014/main" id="{00000000-0008-0000-0400-00002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257</xdr:row>
          <xdr:rowOff>0</xdr:rowOff>
        </xdr:from>
        <xdr:to>
          <xdr:col>5</xdr:col>
          <xdr:colOff>0</xdr:colOff>
          <xdr:row>258</xdr:row>
          <xdr:rowOff>0</xdr:rowOff>
        </xdr:to>
        <xdr:sp macro="" textlink="">
          <xdr:nvSpPr>
            <xdr:cNvPr id="4135" name="A05RatioDD02" hidden="1">
              <a:extLst>
                <a:ext uri="{63B3BB69-23CF-44E3-9099-C40C66FF867C}">
                  <a14:compatExt spid="_x0000_s4135"/>
                </a:ext>
                <a:ext uri="{FF2B5EF4-FFF2-40B4-BE49-F238E27FC236}">
                  <a16:creationId xmlns:a16="http://schemas.microsoft.com/office/drawing/2014/main" id="{00000000-0008-0000-0400-00002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258</xdr:row>
          <xdr:rowOff>0</xdr:rowOff>
        </xdr:from>
        <xdr:to>
          <xdr:col>5</xdr:col>
          <xdr:colOff>0</xdr:colOff>
          <xdr:row>259</xdr:row>
          <xdr:rowOff>0</xdr:rowOff>
        </xdr:to>
        <xdr:sp macro="" textlink="">
          <xdr:nvSpPr>
            <xdr:cNvPr id="4136" name="A05RatioDD03" hidden="1">
              <a:extLst>
                <a:ext uri="{63B3BB69-23CF-44E3-9099-C40C66FF867C}">
                  <a14:compatExt spid="_x0000_s4136"/>
                </a:ext>
                <a:ext uri="{FF2B5EF4-FFF2-40B4-BE49-F238E27FC236}">
                  <a16:creationId xmlns:a16="http://schemas.microsoft.com/office/drawing/2014/main" id="{00000000-0008-0000-0400-00002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259</xdr:row>
          <xdr:rowOff>0</xdr:rowOff>
        </xdr:from>
        <xdr:to>
          <xdr:col>5</xdr:col>
          <xdr:colOff>0</xdr:colOff>
          <xdr:row>260</xdr:row>
          <xdr:rowOff>0</xdr:rowOff>
        </xdr:to>
        <xdr:sp macro="" textlink="">
          <xdr:nvSpPr>
            <xdr:cNvPr id="4137" name="A05RatioDD04" hidden="1">
              <a:extLst>
                <a:ext uri="{63B3BB69-23CF-44E3-9099-C40C66FF867C}">
                  <a14:compatExt spid="_x0000_s4137"/>
                </a:ext>
                <a:ext uri="{FF2B5EF4-FFF2-40B4-BE49-F238E27FC236}">
                  <a16:creationId xmlns:a16="http://schemas.microsoft.com/office/drawing/2014/main" id="{00000000-0008-0000-0400-00002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260</xdr:row>
          <xdr:rowOff>0</xdr:rowOff>
        </xdr:from>
        <xdr:to>
          <xdr:col>5</xdr:col>
          <xdr:colOff>0</xdr:colOff>
          <xdr:row>261</xdr:row>
          <xdr:rowOff>0</xdr:rowOff>
        </xdr:to>
        <xdr:sp macro="" textlink="">
          <xdr:nvSpPr>
            <xdr:cNvPr id="4138" name="A05RatioDD05" hidden="1">
              <a:extLst>
                <a:ext uri="{63B3BB69-23CF-44E3-9099-C40C66FF867C}">
                  <a14:compatExt spid="_x0000_s4138"/>
                </a:ext>
                <a:ext uri="{FF2B5EF4-FFF2-40B4-BE49-F238E27FC236}">
                  <a16:creationId xmlns:a16="http://schemas.microsoft.com/office/drawing/2014/main" id="{00000000-0008-0000-0400-00002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261</xdr:row>
          <xdr:rowOff>0</xdr:rowOff>
        </xdr:from>
        <xdr:to>
          <xdr:col>5</xdr:col>
          <xdr:colOff>0</xdr:colOff>
          <xdr:row>262</xdr:row>
          <xdr:rowOff>0</xdr:rowOff>
        </xdr:to>
        <xdr:sp macro="" textlink="">
          <xdr:nvSpPr>
            <xdr:cNvPr id="4139" name="A05RatioDD06"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32</xdr:row>
          <xdr:rowOff>0</xdr:rowOff>
        </xdr:from>
        <xdr:to>
          <xdr:col>5</xdr:col>
          <xdr:colOff>0</xdr:colOff>
          <xdr:row>33</xdr:row>
          <xdr:rowOff>0</xdr:rowOff>
        </xdr:to>
        <xdr:sp macro="" textlink="">
          <xdr:nvSpPr>
            <xdr:cNvPr id="4140" name="AFinYearDD06" hidden="1">
              <a:extLst>
                <a:ext uri="{63B3BB69-23CF-44E3-9099-C40C66FF867C}">
                  <a14:compatExt spid="_x0000_s4140"/>
                </a:ext>
                <a:ext uri="{FF2B5EF4-FFF2-40B4-BE49-F238E27FC236}">
                  <a16:creationId xmlns:a16="http://schemas.microsoft.com/office/drawing/2014/main" id="{00000000-0008-0000-0400-00002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5</xdr:col>
          <xdr:colOff>0</xdr:colOff>
          <xdr:row>34</xdr:row>
          <xdr:rowOff>0</xdr:rowOff>
        </xdr:to>
        <xdr:sp macro="" textlink="">
          <xdr:nvSpPr>
            <xdr:cNvPr id="4141" name="A06RatioDD01" hidden="1">
              <a:extLst>
                <a:ext uri="{63B3BB69-23CF-44E3-9099-C40C66FF867C}">
                  <a14:compatExt spid="_x0000_s4141"/>
                </a:ext>
                <a:ext uri="{FF2B5EF4-FFF2-40B4-BE49-F238E27FC236}">
                  <a16:creationId xmlns:a16="http://schemas.microsoft.com/office/drawing/2014/main" id="{00000000-0008-0000-0400-00002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5</xdr:col>
          <xdr:colOff>0</xdr:colOff>
          <xdr:row>35</xdr:row>
          <xdr:rowOff>0</xdr:rowOff>
        </xdr:to>
        <xdr:sp macro="" textlink="">
          <xdr:nvSpPr>
            <xdr:cNvPr id="4142" name="A06RatioDD02" hidden="1">
              <a:extLst>
                <a:ext uri="{63B3BB69-23CF-44E3-9099-C40C66FF867C}">
                  <a14:compatExt spid="_x0000_s4142"/>
                </a:ext>
                <a:ext uri="{FF2B5EF4-FFF2-40B4-BE49-F238E27FC236}">
                  <a16:creationId xmlns:a16="http://schemas.microsoft.com/office/drawing/2014/main" id="{00000000-0008-0000-0400-00002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5</xdr:col>
          <xdr:colOff>0</xdr:colOff>
          <xdr:row>36</xdr:row>
          <xdr:rowOff>0</xdr:rowOff>
        </xdr:to>
        <xdr:sp macro="" textlink="">
          <xdr:nvSpPr>
            <xdr:cNvPr id="4143" name="A06RatioDD03" hidden="1">
              <a:extLst>
                <a:ext uri="{63B3BB69-23CF-44E3-9099-C40C66FF867C}">
                  <a14:compatExt spid="_x0000_s4143"/>
                </a:ext>
                <a:ext uri="{FF2B5EF4-FFF2-40B4-BE49-F238E27FC236}">
                  <a16:creationId xmlns:a16="http://schemas.microsoft.com/office/drawing/2014/main" id="{00000000-0008-0000-0400-00002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5</xdr:col>
          <xdr:colOff>0</xdr:colOff>
          <xdr:row>37</xdr:row>
          <xdr:rowOff>0</xdr:rowOff>
        </xdr:to>
        <xdr:sp macro="" textlink="">
          <xdr:nvSpPr>
            <xdr:cNvPr id="4144" name="A06RatioDD04" hidden="1">
              <a:extLst>
                <a:ext uri="{63B3BB69-23CF-44E3-9099-C40C66FF867C}">
                  <a14:compatExt spid="_x0000_s4144"/>
                </a:ext>
                <a:ext uri="{FF2B5EF4-FFF2-40B4-BE49-F238E27FC236}">
                  <a16:creationId xmlns:a16="http://schemas.microsoft.com/office/drawing/2014/main" id="{00000000-0008-0000-0400-00003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5</xdr:col>
          <xdr:colOff>0</xdr:colOff>
          <xdr:row>38</xdr:row>
          <xdr:rowOff>0</xdr:rowOff>
        </xdr:to>
        <xdr:sp macro="" textlink="">
          <xdr:nvSpPr>
            <xdr:cNvPr id="4145" name="A06RatioDD05" hidden="1">
              <a:extLst>
                <a:ext uri="{63B3BB69-23CF-44E3-9099-C40C66FF867C}">
                  <a14:compatExt spid="_x0000_s4145"/>
                </a:ext>
                <a:ext uri="{FF2B5EF4-FFF2-40B4-BE49-F238E27FC236}">
                  <a16:creationId xmlns:a16="http://schemas.microsoft.com/office/drawing/2014/main" id="{00000000-0008-0000-0400-00003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5</xdr:col>
          <xdr:colOff>0</xdr:colOff>
          <xdr:row>39</xdr:row>
          <xdr:rowOff>0</xdr:rowOff>
        </xdr:to>
        <xdr:sp macro="" textlink="">
          <xdr:nvSpPr>
            <xdr:cNvPr id="4146" name="A06RatioDD06" hidden="1">
              <a:extLst>
                <a:ext uri="{63B3BB69-23CF-44E3-9099-C40C66FF867C}">
                  <a14:compatExt spid="_x0000_s4146"/>
                </a:ext>
                <a:ext uri="{FF2B5EF4-FFF2-40B4-BE49-F238E27FC236}">
                  <a16:creationId xmlns:a16="http://schemas.microsoft.com/office/drawing/2014/main" id="{00000000-0008-0000-0400-00003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268</xdr:row>
          <xdr:rowOff>0</xdr:rowOff>
        </xdr:from>
        <xdr:to>
          <xdr:col>10</xdr:col>
          <xdr:colOff>0</xdr:colOff>
          <xdr:row>269</xdr:row>
          <xdr:rowOff>0</xdr:rowOff>
        </xdr:to>
        <xdr:sp macro="" textlink="">
          <xdr:nvSpPr>
            <xdr:cNvPr id="4157" name="VariableDD2" hidden="1">
              <a:extLst>
                <a:ext uri="{63B3BB69-23CF-44E3-9099-C40C66FF867C}">
                  <a14:compatExt spid="_x0000_s4157"/>
                </a:ext>
                <a:ext uri="{FF2B5EF4-FFF2-40B4-BE49-F238E27FC236}">
                  <a16:creationId xmlns:a16="http://schemas.microsoft.com/office/drawing/2014/main" id="{00000000-0008-0000-0400-00003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270</xdr:row>
          <xdr:rowOff>0</xdr:rowOff>
        </xdr:from>
        <xdr:to>
          <xdr:col>5</xdr:col>
          <xdr:colOff>0</xdr:colOff>
          <xdr:row>271</xdr:row>
          <xdr:rowOff>0</xdr:rowOff>
        </xdr:to>
        <xdr:sp macro="" textlink="">
          <xdr:nvSpPr>
            <xdr:cNvPr id="4158" name="ValuePeriodDD2" hidden="1">
              <a:extLst>
                <a:ext uri="{63B3BB69-23CF-44E3-9099-C40C66FF867C}">
                  <a14:compatExt spid="_x0000_s4158"/>
                </a:ext>
                <a:ext uri="{FF2B5EF4-FFF2-40B4-BE49-F238E27FC236}">
                  <a16:creationId xmlns:a16="http://schemas.microsoft.com/office/drawing/2014/main" id="{00000000-0008-0000-0400-00003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301</xdr:row>
          <xdr:rowOff>0</xdr:rowOff>
        </xdr:from>
        <xdr:to>
          <xdr:col>5</xdr:col>
          <xdr:colOff>0</xdr:colOff>
          <xdr:row>302</xdr:row>
          <xdr:rowOff>0</xdr:rowOff>
        </xdr:to>
        <xdr:sp macro="" textlink="">
          <xdr:nvSpPr>
            <xdr:cNvPr id="4159" name="AFinYearDD07" hidden="1">
              <a:extLst>
                <a:ext uri="{63B3BB69-23CF-44E3-9099-C40C66FF867C}">
                  <a14:compatExt spid="_x0000_s4159"/>
                </a:ext>
                <a:ext uri="{FF2B5EF4-FFF2-40B4-BE49-F238E27FC236}">
                  <a16:creationId xmlns:a16="http://schemas.microsoft.com/office/drawing/2014/main" id="{00000000-0008-0000-0400-00003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271</xdr:row>
          <xdr:rowOff>0</xdr:rowOff>
        </xdr:from>
        <xdr:to>
          <xdr:col>5</xdr:col>
          <xdr:colOff>0</xdr:colOff>
          <xdr:row>272</xdr:row>
          <xdr:rowOff>0</xdr:rowOff>
        </xdr:to>
        <xdr:sp macro="" textlink="">
          <xdr:nvSpPr>
            <xdr:cNvPr id="4160" name="AFactorDD7" hidden="1">
              <a:extLst>
                <a:ext uri="{63B3BB69-23CF-44E3-9099-C40C66FF867C}">
                  <a14:compatExt spid="_x0000_s4160"/>
                </a:ext>
                <a:ext uri="{FF2B5EF4-FFF2-40B4-BE49-F238E27FC236}">
                  <a16:creationId xmlns:a16="http://schemas.microsoft.com/office/drawing/2014/main" id="{00000000-0008-0000-0400-00004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302</xdr:row>
          <xdr:rowOff>0</xdr:rowOff>
        </xdr:from>
        <xdr:to>
          <xdr:col>5</xdr:col>
          <xdr:colOff>0</xdr:colOff>
          <xdr:row>303</xdr:row>
          <xdr:rowOff>0</xdr:rowOff>
        </xdr:to>
        <xdr:sp macro="" textlink="">
          <xdr:nvSpPr>
            <xdr:cNvPr id="4161" name="A07RatioDD01" hidden="1">
              <a:extLst>
                <a:ext uri="{63B3BB69-23CF-44E3-9099-C40C66FF867C}">
                  <a14:compatExt spid="_x0000_s4161"/>
                </a:ext>
                <a:ext uri="{FF2B5EF4-FFF2-40B4-BE49-F238E27FC236}">
                  <a16:creationId xmlns:a16="http://schemas.microsoft.com/office/drawing/2014/main" id="{00000000-0008-0000-0400-00004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303</xdr:row>
          <xdr:rowOff>0</xdr:rowOff>
        </xdr:from>
        <xdr:to>
          <xdr:col>5</xdr:col>
          <xdr:colOff>0</xdr:colOff>
          <xdr:row>304</xdr:row>
          <xdr:rowOff>0</xdr:rowOff>
        </xdr:to>
        <xdr:sp macro="" textlink="">
          <xdr:nvSpPr>
            <xdr:cNvPr id="4162" name="A07RatioDD02" hidden="1">
              <a:extLst>
                <a:ext uri="{63B3BB69-23CF-44E3-9099-C40C66FF867C}">
                  <a14:compatExt spid="_x0000_s4162"/>
                </a:ext>
                <a:ext uri="{FF2B5EF4-FFF2-40B4-BE49-F238E27FC236}">
                  <a16:creationId xmlns:a16="http://schemas.microsoft.com/office/drawing/2014/main" id="{00000000-0008-0000-0400-00004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304</xdr:row>
          <xdr:rowOff>0</xdr:rowOff>
        </xdr:from>
        <xdr:to>
          <xdr:col>5</xdr:col>
          <xdr:colOff>0</xdr:colOff>
          <xdr:row>305</xdr:row>
          <xdr:rowOff>0</xdr:rowOff>
        </xdr:to>
        <xdr:sp macro="" textlink="">
          <xdr:nvSpPr>
            <xdr:cNvPr id="4163" name="A07RatioDD03" hidden="1">
              <a:extLst>
                <a:ext uri="{63B3BB69-23CF-44E3-9099-C40C66FF867C}">
                  <a14:compatExt spid="_x0000_s4163"/>
                </a:ext>
                <a:ext uri="{FF2B5EF4-FFF2-40B4-BE49-F238E27FC236}">
                  <a16:creationId xmlns:a16="http://schemas.microsoft.com/office/drawing/2014/main" id="{00000000-0008-0000-0400-00004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305</xdr:row>
          <xdr:rowOff>0</xdr:rowOff>
        </xdr:from>
        <xdr:to>
          <xdr:col>5</xdr:col>
          <xdr:colOff>0</xdr:colOff>
          <xdr:row>306</xdr:row>
          <xdr:rowOff>0</xdr:rowOff>
        </xdr:to>
        <xdr:sp macro="" textlink="">
          <xdr:nvSpPr>
            <xdr:cNvPr id="4164" name="A07RatioDD04" hidden="1">
              <a:extLst>
                <a:ext uri="{63B3BB69-23CF-44E3-9099-C40C66FF867C}">
                  <a14:compatExt spid="_x0000_s4164"/>
                </a:ext>
                <a:ext uri="{FF2B5EF4-FFF2-40B4-BE49-F238E27FC236}">
                  <a16:creationId xmlns:a16="http://schemas.microsoft.com/office/drawing/2014/main" id="{00000000-0008-0000-0400-00004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306</xdr:row>
          <xdr:rowOff>0</xdr:rowOff>
        </xdr:from>
        <xdr:to>
          <xdr:col>5</xdr:col>
          <xdr:colOff>0</xdr:colOff>
          <xdr:row>307</xdr:row>
          <xdr:rowOff>0</xdr:rowOff>
        </xdr:to>
        <xdr:sp macro="" textlink="">
          <xdr:nvSpPr>
            <xdr:cNvPr id="4165" name="A07RatioDD05" hidden="1">
              <a:extLst>
                <a:ext uri="{63B3BB69-23CF-44E3-9099-C40C66FF867C}">
                  <a14:compatExt spid="_x0000_s4165"/>
                </a:ext>
                <a:ext uri="{FF2B5EF4-FFF2-40B4-BE49-F238E27FC236}">
                  <a16:creationId xmlns:a16="http://schemas.microsoft.com/office/drawing/2014/main" id="{00000000-0008-0000-0400-00004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307</xdr:row>
          <xdr:rowOff>0</xdr:rowOff>
        </xdr:from>
        <xdr:to>
          <xdr:col>5</xdr:col>
          <xdr:colOff>0</xdr:colOff>
          <xdr:row>308</xdr:row>
          <xdr:rowOff>0</xdr:rowOff>
        </xdr:to>
        <xdr:sp macro="" textlink="">
          <xdr:nvSpPr>
            <xdr:cNvPr id="4166" name="A07RatioDD06" hidden="1">
              <a:extLst>
                <a:ext uri="{63B3BB69-23CF-44E3-9099-C40C66FF867C}">
                  <a14:compatExt spid="_x0000_s4166"/>
                </a:ext>
                <a:ext uri="{FF2B5EF4-FFF2-40B4-BE49-F238E27FC236}">
                  <a16:creationId xmlns:a16="http://schemas.microsoft.com/office/drawing/2014/main" id="{00000000-0008-0000-0400-00004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314</xdr:row>
          <xdr:rowOff>0</xdr:rowOff>
        </xdr:from>
        <xdr:to>
          <xdr:col>10</xdr:col>
          <xdr:colOff>0</xdr:colOff>
          <xdr:row>315</xdr:row>
          <xdr:rowOff>0</xdr:rowOff>
        </xdr:to>
        <xdr:sp macro="" textlink="">
          <xdr:nvSpPr>
            <xdr:cNvPr id="4167" name="VariableDD3" hidden="1">
              <a:extLst>
                <a:ext uri="{63B3BB69-23CF-44E3-9099-C40C66FF867C}">
                  <a14:compatExt spid="_x0000_s4167"/>
                </a:ext>
                <a:ext uri="{FF2B5EF4-FFF2-40B4-BE49-F238E27FC236}">
                  <a16:creationId xmlns:a16="http://schemas.microsoft.com/office/drawing/2014/main" id="{00000000-0008-0000-0400-00004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316</xdr:row>
          <xdr:rowOff>0</xdr:rowOff>
        </xdr:from>
        <xdr:to>
          <xdr:col>5</xdr:col>
          <xdr:colOff>0</xdr:colOff>
          <xdr:row>317</xdr:row>
          <xdr:rowOff>0</xdr:rowOff>
        </xdr:to>
        <xdr:sp macro="" textlink="">
          <xdr:nvSpPr>
            <xdr:cNvPr id="4168" name="ValuePeriodDD3" hidden="1">
              <a:extLst>
                <a:ext uri="{63B3BB69-23CF-44E3-9099-C40C66FF867C}">
                  <a14:compatExt spid="_x0000_s4168"/>
                </a:ext>
                <a:ext uri="{FF2B5EF4-FFF2-40B4-BE49-F238E27FC236}">
                  <a16:creationId xmlns:a16="http://schemas.microsoft.com/office/drawing/2014/main" id="{00000000-0008-0000-0400-00004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347</xdr:row>
          <xdr:rowOff>0</xdr:rowOff>
        </xdr:from>
        <xdr:to>
          <xdr:col>5</xdr:col>
          <xdr:colOff>0</xdr:colOff>
          <xdr:row>348</xdr:row>
          <xdr:rowOff>0</xdr:rowOff>
        </xdr:to>
        <xdr:sp macro="" textlink="">
          <xdr:nvSpPr>
            <xdr:cNvPr id="4169" name="AFinYearDD08" hidden="1">
              <a:extLst>
                <a:ext uri="{63B3BB69-23CF-44E3-9099-C40C66FF867C}">
                  <a14:compatExt spid="_x0000_s4169"/>
                </a:ext>
                <a:ext uri="{FF2B5EF4-FFF2-40B4-BE49-F238E27FC236}">
                  <a16:creationId xmlns:a16="http://schemas.microsoft.com/office/drawing/2014/main" id="{00000000-0008-0000-0400-00004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317</xdr:row>
          <xdr:rowOff>0</xdr:rowOff>
        </xdr:from>
        <xdr:to>
          <xdr:col>5</xdr:col>
          <xdr:colOff>0</xdr:colOff>
          <xdr:row>318</xdr:row>
          <xdr:rowOff>0</xdr:rowOff>
        </xdr:to>
        <xdr:sp macro="" textlink="">
          <xdr:nvSpPr>
            <xdr:cNvPr id="4170" name="AFactorDD8" hidden="1">
              <a:extLst>
                <a:ext uri="{63B3BB69-23CF-44E3-9099-C40C66FF867C}">
                  <a14:compatExt spid="_x0000_s4170"/>
                </a:ext>
                <a:ext uri="{FF2B5EF4-FFF2-40B4-BE49-F238E27FC236}">
                  <a16:creationId xmlns:a16="http://schemas.microsoft.com/office/drawing/2014/main" id="{00000000-0008-0000-0400-00004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348</xdr:row>
          <xdr:rowOff>0</xdr:rowOff>
        </xdr:from>
        <xdr:to>
          <xdr:col>5</xdr:col>
          <xdr:colOff>0</xdr:colOff>
          <xdr:row>349</xdr:row>
          <xdr:rowOff>0</xdr:rowOff>
        </xdr:to>
        <xdr:sp macro="" textlink="">
          <xdr:nvSpPr>
            <xdr:cNvPr id="4171" name="A08RatioDD01" hidden="1">
              <a:extLst>
                <a:ext uri="{63B3BB69-23CF-44E3-9099-C40C66FF867C}">
                  <a14:compatExt spid="_x0000_s4171"/>
                </a:ext>
                <a:ext uri="{FF2B5EF4-FFF2-40B4-BE49-F238E27FC236}">
                  <a16:creationId xmlns:a16="http://schemas.microsoft.com/office/drawing/2014/main" id="{00000000-0008-0000-0400-00004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349</xdr:row>
          <xdr:rowOff>0</xdr:rowOff>
        </xdr:from>
        <xdr:to>
          <xdr:col>5</xdr:col>
          <xdr:colOff>0</xdr:colOff>
          <xdr:row>350</xdr:row>
          <xdr:rowOff>0</xdr:rowOff>
        </xdr:to>
        <xdr:sp macro="" textlink="">
          <xdr:nvSpPr>
            <xdr:cNvPr id="4172" name="A08RatioDD02" hidden="1">
              <a:extLst>
                <a:ext uri="{63B3BB69-23CF-44E3-9099-C40C66FF867C}">
                  <a14:compatExt spid="_x0000_s4172"/>
                </a:ext>
                <a:ext uri="{FF2B5EF4-FFF2-40B4-BE49-F238E27FC236}">
                  <a16:creationId xmlns:a16="http://schemas.microsoft.com/office/drawing/2014/main" id="{00000000-0008-0000-0400-00004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350</xdr:row>
          <xdr:rowOff>0</xdr:rowOff>
        </xdr:from>
        <xdr:to>
          <xdr:col>5</xdr:col>
          <xdr:colOff>0</xdr:colOff>
          <xdr:row>351</xdr:row>
          <xdr:rowOff>0</xdr:rowOff>
        </xdr:to>
        <xdr:sp macro="" textlink="">
          <xdr:nvSpPr>
            <xdr:cNvPr id="4173" name="A08RatioDD03" hidden="1">
              <a:extLst>
                <a:ext uri="{63B3BB69-23CF-44E3-9099-C40C66FF867C}">
                  <a14:compatExt spid="_x0000_s4173"/>
                </a:ext>
                <a:ext uri="{FF2B5EF4-FFF2-40B4-BE49-F238E27FC236}">
                  <a16:creationId xmlns:a16="http://schemas.microsoft.com/office/drawing/2014/main" id="{00000000-0008-0000-0400-00004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351</xdr:row>
          <xdr:rowOff>0</xdr:rowOff>
        </xdr:from>
        <xdr:to>
          <xdr:col>5</xdr:col>
          <xdr:colOff>0</xdr:colOff>
          <xdr:row>352</xdr:row>
          <xdr:rowOff>0</xdr:rowOff>
        </xdr:to>
        <xdr:sp macro="" textlink="">
          <xdr:nvSpPr>
            <xdr:cNvPr id="4174" name="A08RatioDD04" hidden="1">
              <a:extLst>
                <a:ext uri="{63B3BB69-23CF-44E3-9099-C40C66FF867C}">
                  <a14:compatExt spid="_x0000_s4174"/>
                </a:ext>
                <a:ext uri="{FF2B5EF4-FFF2-40B4-BE49-F238E27FC236}">
                  <a16:creationId xmlns:a16="http://schemas.microsoft.com/office/drawing/2014/main" id="{00000000-0008-0000-0400-00004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352</xdr:row>
          <xdr:rowOff>0</xdr:rowOff>
        </xdr:from>
        <xdr:to>
          <xdr:col>5</xdr:col>
          <xdr:colOff>0</xdr:colOff>
          <xdr:row>353</xdr:row>
          <xdr:rowOff>0</xdr:rowOff>
        </xdr:to>
        <xdr:sp macro="" textlink="">
          <xdr:nvSpPr>
            <xdr:cNvPr id="4175" name="A08RatioDD05" hidden="1">
              <a:extLst>
                <a:ext uri="{63B3BB69-23CF-44E3-9099-C40C66FF867C}">
                  <a14:compatExt spid="_x0000_s4175"/>
                </a:ext>
                <a:ext uri="{FF2B5EF4-FFF2-40B4-BE49-F238E27FC236}">
                  <a16:creationId xmlns:a16="http://schemas.microsoft.com/office/drawing/2014/main" id="{00000000-0008-0000-0400-00004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353</xdr:row>
          <xdr:rowOff>0</xdr:rowOff>
        </xdr:from>
        <xdr:to>
          <xdr:col>5</xdr:col>
          <xdr:colOff>0</xdr:colOff>
          <xdr:row>354</xdr:row>
          <xdr:rowOff>0</xdr:rowOff>
        </xdr:to>
        <xdr:sp macro="" textlink="">
          <xdr:nvSpPr>
            <xdr:cNvPr id="4176" name="A08RatioDD06" hidden="1">
              <a:extLst>
                <a:ext uri="{63B3BB69-23CF-44E3-9099-C40C66FF867C}">
                  <a14:compatExt spid="_x0000_s4176"/>
                </a:ext>
                <a:ext uri="{FF2B5EF4-FFF2-40B4-BE49-F238E27FC236}">
                  <a16:creationId xmlns:a16="http://schemas.microsoft.com/office/drawing/2014/main" id="{00000000-0008-0000-0400-00005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360</xdr:row>
          <xdr:rowOff>0</xdr:rowOff>
        </xdr:from>
        <xdr:to>
          <xdr:col>10</xdr:col>
          <xdr:colOff>0</xdr:colOff>
          <xdr:row>361</xdr:row>
          <xdr:rowOff>0</xdr:rowOff>
        </xdr:to>
        <xdr:sp macro="" textlink="">
          <xdr:nvSpPr>
            <xdr:cNvPr id="4177" name="VariableDD4" hidden="1">
              <a:extLst>
                <a:ext uri="{63B3BB69-23CF-44E3-9099-C40C66FF867C}">
                  <a14:compatExt spid="_x0000_s4177"/>
                </a:ext>
                <a:ext uri="{FF2B5EF4-FFF2-40B4-BE49-F238E27FC236}">
                  <a16:creationId xmlns:a16="http://schemas.microsoft.com/office/drawing/2014/main" id="{00000000-0008-0000-0400-00005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362</xdr:row>
          <xdr:rowOff>0</xdr:rowOff>
        </xdr:from>
        <xdr:to>
          <xdr:col>5</xdr:col>
          <xdr:colOff>0</xdr:colOff>
          <xdr:row>363</xdr:row>
          <xdr:rowOff>0</xdr:rowOff>
        </xdr:to>
        <xdr:sp macro="" textlink="">
          <xdr:nvSpPr>
            <xdr:cNvPr id="4178" name="ValuePeriodDD4" hidden="1">
              <a:extLst>
                <a:ext uri="{63B3BB69-23CF-44E3-9099-C40C66FF867C}">
                  <a14:compatExt spid="_x0000_s4178"/>
                </a:ext>
                <a:ext uri="{FF2B5EF4-FFF2-40B4-BE49-F238E27FC236}">
                  <a16:creationId xmlns:a16="http://schemas.microsoft.com/office/drawing/2014/main" id="{00000000-0008-0000-0400-00005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393</xdr:row>
          <xdr:rowOff>0</xdr:rowOff>
        </xdr:from>
        <xdr:to>
          <xdr:col>5</xdr:col>
          <xdr:colOff>0</xdr:colOff>
          <xdr:row>394</xdr:row>
          <xdr:rowOff>0</xdr:rowOff>
        </xdr:to>
        <xdr:sp macro="" textlink="">
          <xdr:nvSpPr>
            <xdr:cNvPr id="4179" name="AFinYearDD09" hidden="1">
              <a:extLst>
                <a:ext uri="{63B3BB69-23CF-44E3-9099-C40C66FF867C}">
                  <a14:compatExt spid="_x0000_s4179"/>
                </a:ext>
                <a:ext uri="{FF2B5EF4-FFF2-40B4-BE49-F238E27FC236}">
                  <a16:creationId xmlns:a16="http://schemas.microsoft.com/office/drawing/2014/main" id="{00000000-0008-0000-0400-00005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363</xdr:row>
          <xdr:rowOff>0</xdr:rowOff>
        </xdr:from>
        <xdr:to>
          <xdr:col>5</xdr:col>
          <xdr:colOff>0</xdr:colOff>
          <xdr:row>364</xdr:row>
          <xdr:rowOff>0</xdr:rowOff>
        </xdr:to>
        <xdr:sp macro="" textlink="">
          <xdr:nvSpPr>
            <xdr:cNvPr id="4180" name="AFactorDD9" hidden="1">
              <a:extLst>
                <a:ext uri="{63B3BB69-23CF-44E3-9099-C40C66FF867C}">
                  <a14:compatExt spid="_x0000_s4180"/>
                </a:ext>
                <a:ext uri="{FF2B5EF4-FFF2-40B4-BE49-F238E27FC236}">
                  <a16:creationId xmlns:a16="http://schemas.microsoft.com/office/drawing/2014/main" id="{00000000-0008-0000-0400-00005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394</xdr:row>
          <xdr:rowOff>0</xdr:rowOff>
        </xdr:from>
        <xdr:to>
          <xdr:col>5</xdr:col>
          <xdr:colOff>0</xdr:colOff>
          <xdr:row>395</xdr:row>
          <xdr:rowOff>0</xdr:rowOff>
        </xdr:to>
        <xdr:sp macro="" textlink="">
          <xdr:nvSpPr>
            <xdr:cNvPr id="4181" name="A09RatioDD01" hidden="1">
              <a:extLst>
                <a:ext uri="{63B3BB69-23CF-44E3-9099-C40C66FF867C}">
                  <a14:compatExt spid="_x0000_s4181"/>
                </a:ext>
                <a:ext uri="{FF2B5EF4-FFF2-40B4-BE49-F238E27FC236}">
                  <a16:creationId xmlns:a16="http://schemas.microsoft.com/office/drawing/2014/main" id="{00000000-0008-0000-0400-00005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395</xdr:row>
          <xdr:rowOff>0</xdr:rowOff>
        </xdr:from>
        <xdr:to>
          <xdr:col>5</xdr:col>
          <xdr:colOff>0</xdr:colOff>
          <xdr:row>396</xdr:row>
          <xdr:rowOff>0</xdr:rowOff>
        </xdr:to>
        <xdr:sp macro="" textlink="">
          <xdr:nvSpPr>
            <xdr:cNvPr id="4182" name="A09RatioDD02" hidden="1">
              <a:extLst>
                <a:ext uri="{63B3BB69-23CF-44E3-9099-C40C66FF867C}">
                  <a14:compatExt spid="_x0000_s4182"/>
                </a:ext>
                <a:ext uri="{FF2B5EF4-FFF2-40B4-BE49-F238E27FC236}">
                  <a16:creationId xmlns:a16="http://schemas.microsoft.com/office/drawing/2014/main" id="{00000000-0008-0000-0400-00005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396</xdr:row>
          <xdr:rowOff>0</xdr:rowOff>
        </xdr:from>
        <xdr:to>
          <xdr:col>5</xdr:col>
          <xdr:colOff>0</xdr:colOff>
          <xdr:row>397</xdr:row>
          <xdr:rowOff>0</xdr:rowOff>
        </xdr:to>
        <xdr:sp macro="" textlink="">
          <xdr:nvSpPr>
            <xdr:cNvPr id="4183" name="A09RatioDD03" hidden="1">
              <a:extLst>
                <a:ext uri="{63B3BB69-23CF-44E3-9099-C40C66FF867C}">
                  <a14:compatExt spid="_x0000_s4183"/>
                </a:ext>
                <a:ext uri="{FF2B5EF4-FFF2-40B4-BE49-F238E27FC236}">
                  <a16:creationId xmlns:a16="http://schemas.microsoft.com/office/drawing/2014/main" id="{00000000-0008-0000-0400-00005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397</xdr:row>
          <xdr:rowOff>0</xdr:rowOff>
        </xdr:from>
        <xdr:to>
          <xdr:col>5</xdr:col>
          <xdr:colOff>0</xdr:colOff>
          <xdr:row>398</xdr:row>
          <xdr:rowOff>0</xdr:rowOff>
        </xdr:to>
        <xdr:sp macro="" textlink="">
          <xdr:nvSpPr>
            <xdr:cNvPr id="4184" name="A09RatioDD04" hidden="1">
              <a:extLst>
                <a:ext uri="{63B3BB69-23CF-44E3-9099-C40C66FF867C}">
                  <a14:compatExt spid="_x0000_s4184"/>
                </a:ext>
                <a:ext uri="{FF2B5EF4-FFF2-40B4-BE49-F238E27FC236}">
                  <a16:creationId xmlns:a16="http://schemas.microsoft.com/office/drawing/2014/main" id="{00000000-0008-0000-0400-00005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398</xdr:row>
          <xdr:rowOff>0</xdr:rowOff>
        </xdr:from>
        <xdr:to>
          <xdr:col>5</xdr:col>
          <xdr:colOff>0</xdr:colOff>
          <xdr:row>399</xdr:row>
          <xdr:rowOff>0</xdr:rowOff>
        </xdr:to>
        <xdr:sp macro="" textlink="">
          <xdr:nvSpPr>
            <xdr:cNvPr id="4185" name="A09RatioDD05" hidden="1">
              <a:extLst>
                <a:ext uri="{63B3BB69-23CF-44E3-9099-C40C66FF867C}">
                  <a14:compatExt spid="_x0000_s4185"/>
                </a:ext>
                <a:ext uri="{FF2B5EF4-FFF2-40B4-BE49-F238E27FC236}">
                  <a16:creationId xmlns:a16="http://schemas.microsoft.com/office/drawing/2014/main" id="{00000000-0008-0000-0400-00005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399</xdr:row>
          <xdr:rowOff>0</xdr:rowOff>
        </xdr:from>
        <xdr:to>
          <xdr:col>5</xdr:col>
          <xdr:colOff>0</xdr:colOff>
          <xdr:row>400</xdr:row>
          <xdr:rowOff>0</xdr:rowOff>
        </xdr:to>
        <xdr:sp macro="" textlink="">
          <xdr:nvSpPr>
            <xdr:cNvPr id="4186" name="A09RatioDD06" hidden="1">
              <a:extLst>
                <a:ext uri="{63B3BB69-23CF-44E3-9099-C40C66FF867C}">
                  <a14:compatExt spid="_x0000_s4186"/>
                </a:ext>
                <a:ext uri="{FF2B5EF4-FFF2-40B4-BE49-F238E27FC236}">
                  <a16:creationId xmlns:a16="http://schemas.microsoft.com/office/drawing/2014/main" id="{00000000-0008-0000-0400-00005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406</xdr:row>
          <xdr:rowOff>0</xdr:rowOff>
        </xdr:from>
        <xdr:to>
          <xdr:col>10</xdr:col>
          <xdr:colOff>0</xdr:colOff>
          <xdr:row>407</xdr:row>
          <xdr:rowOff>0</xdr:rowOff>
        </xdr:to>
        <xdr:sp macro="" textlink="">
          <xdr:nvSpPr>
            <xdr:cNvPr id="4187" name="VariableDD5" hidden="1">
              <a:extLst>
                <a:ext uri="{63B3BB69-23CF-44E3-9099-C40C66FF867C}">
                  <a14:compatExt spid="_x0000_s4187"/>
                </a:ext>
                <a:ext uri="{FF2B5EF4-FFF2-40B4-BE49-F238E27FC236}">
                  <a16:creationId xmlns:a16="http://schemas.microsoft.com/office/drawing/2014/main" id="{00000000-0008-0000-0400-00005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408</xdr:row>
          <xdr:rowOff>0</xdr:rowOff>
        </xdr:from>
        <xdr:to>
          <xdr:col>5</xdr:col>
          <xdr:colOff>0</xdr:colOff>
          <xdr:row>409</xdr:row>
          <xdr:rowOff>0</xdr:rowOff>
        </xdr:to>
        <xdr:sp macro="" textlink="">
          <xdr:nvSpPr>
            <xdr:cNvPr id="4188" name="ValuePeriodDD5" hidden="1">
              <a:extLst>
                <a:ext uri="{63B3BB69-23CF-44E3-9099-C40C66FF867C}">
                  <a14:compatExt spid="_x0000_s4188"/>
                </a:ext>
                <a:ext uri="{FF2B5EF4-FFF2-40B4-BE49-F238E27FC236}">
                  <a16:creationId xmlns:a16="http://schemas.microsoft.com/office/drawing/2014/main" id="{00000000-0008-0000-0400-00005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439</xdr:row>
          <xdr:rowOff>0</xdr:rowOff>
        </xdr:from>
        <xdr:to>
          <xdr:col>5</xdr:col>
          <xdr:colOff>0</xdr:colOff>
          <xdr:row>440</xdr:row>
          <xdr:rowOff>0</xdr:rowOff>
        </xdr:to>
        <xdr:sp macro="" textlink="">
          <xdr:nvSpPr>
            <xdr:cNvPr id="4189" name="AFinYearDD10" hidden="1">
              <a:extLst>
                <a:ext uri="{63B3BB69-23CF-44E3-9099-C40C66FF867C}">
                  <a14:compatExt spid="_x0000_s4189"/>
                </a:ext>
                <a:ext uri="{FF2B5EF4-FFF2-40B4-BE49-F238E27FC236}">
                  <a16:creationId xmlns:a16="http://schemas.microsoft.com/office/drawing/2014/main" id="{00000000-0008-0000-0400-00005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409</xdr:row>
          <xdr:rowOff>0</xdr:rowOff>
        </xdr:from>
        <xdr:to>
          <xdr:col>5</xdr:col>
          <xdr:colOff>0</xdr:colOff>
          <xdr:row>410</xdr:row>
          <xdr:rowOff>0</xdr:rowOff>
        </xdr:to>
        <xdr:sp macro="" textlink="">
          <xdr:nvSpPr>
            <xdr:cNvPr id="4190" name="AFactorDD10" hidden="1">
              <a:extLst>
                <a:ext uri="{63B3BB69-23CF-44E3-9099-C40C66FF867C}">
                  <a14:compatExt spid="_x0000_s4190"/>
                </a:ext>
                <a:ext uri="{FF2B5EF4-FFF2-40B4-BE49-F238E27FC236}">
                  <a16:creationId xmlns:a16="http://schemas.microsoft.com/office/drawing/2014/main" id="{00000000-0008-0000-0400-00005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440</xdr:row>
          <xdr:rowOff>0</xdr:rowOff>
        </xdr:from>
        <xdr:to>
          <xdr:col>5</xdr:col>
          <xdr:colOff>0</xdr:colOff>
          <xdr:row>441</xdr:row>
          <xdr:rowOff>0</xdr:rowOff>
        </xdr:to>
        <xdr:sp macro="" textlink="">
          <xdr:nvSpPr>
            <xdr:cNvPr id="4191" name="A10RatioDD01" hidden="1">
              <a:extLst>
                <a:ext uri="{63B3BB69-23CF-44E3-9099-C40C66FF867C}">
                  <a14:compatExt spid="_x0000_s4191"/>
                </a:ext>
                <a:ext uri="{FF2B5EF4-FFF2-40B4-BE49-F238E27FC236}">
                  <a16:creationId xmlns:a16="http://schemas.microsoft.com/office/drawing/2014/main" id="{00000000-0008-0000-0400-00005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441</xdr:row>
          <xdr:rowOff>0</xdr:rowOff>
        </xdr:from>
        <xdr:to>
          <xdr:col>5</xdr:col>
          <xdr:colOff>0</xdr:colOff>
          <xdr:row>442</xdr:row>
          <xdr:rowOff>0</xdr:rowOff>
        </xdr:to>
        <xdr:sp macro="" textlink="">
          <xdr:nvSpPr>
            <xdr:cNvPr id="4192" name="A10RatioDD02" hidden="1">
              <a:extLst>
                <a:ext uri="{63B3BB69-23CF-44E3-9099-C40C66FF867C}">
                  <a14:compatExt spid="_x0000_s4192"/>
                </a:ext>
                <a:ext uri="{FF2B5EF4-FFF2-40B4-BE49-F238E27FC236}">
                  <a16:creationId xmlns:a16="http://schemas.microsoft.com/office/drawing/2014/main" id="{00000000-0008-0000-0400-00006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442</xdr:row>
          <xdr:rowOff>0</xdr:rowOff>
        </xdr:from>
        <xdr:to>
          <xdr:col>5</xdr:col>
          <xdr:colOff>0</xdr:colOff>
          <xdr:row>443</xdr:row>
          <xdr:rowOff>0</xdr:rowOff>
        </xdr:to>
        <xdr:sp macro="" textlink="">
          <xdr:nvSpPr>
            <xdr:cNvPr id="4193" name="A10RatioDD03" hidden="1">
              <a:extLst>
                <a:ext uri="{63B3BB69-23CF-44E3-9099-C40C66FF867C}">
                  <a14:compatExt spid="_x0000_s4193"/>
                </a:ext>
                <a:ext uri="{FF2B5EF4-FFF2-40B4-BE49-F238E27FC236}">
                  <a16:creationId xmlns:a16="http://schemas.microsoft.com/office/drawing/2014/main" id="{00000000-0008-0000-0400-00006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443</xdr:row>
          <xdr:rowOff>0</xdr:rowOff>
        </xdr:from>
        <xdr:to>
          <xdr:col>5</xdr:col>
          <xdr:colOff>0</xdr:colOff>
          <xdr:row>444</xdr:row>
          <xdr:rowOff>0</xdr:rowOff>
        </xdr:to>
        <xdr:sp macro="" textlink="">
          <xdr:nvSpPr>
            <xdr:cNvPr id="4194" name="A10RatioDD04" hidden="1">
              <a:extLst>
                <a:ext uri="{63B3BB69-23CF-44E3-9099-C40C66FF867C}">
                  <a14:compatExt spid="_x0000_s4194"/>
                </a:ext>
                <a:ext uri="{FF2B5EF4-FFF2-40B4-BE49-F238E27FC236}">
                  <a16:creationId xmlns:a16="http://schemas.microsoft.com/office/drawing/2014/main" id="{00000000-0008-0000-0400-00006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444</xdr:row>
          <xdr:rowOff>0</xdr:rowOff>
        </xdr:from>
        <xdr:to>
          <xdr:col>5</xdr:col>
          <xdr:colOff>0</xdr:colOff>
          <xdr:row>445</xdr:row>
          <xdr:rowOff>0</xdr:rowOff>
        </xdr:to>
        <xdr:sp macro="" textlink="">
          <xdr:nvSpPr>
            <xdr:cNvPr id="4195" name="A10RatioDD05" hidden="1">
              <a:extLst>
                <a:ext uri="{63B3BB69-23CF-44E3-9099-C40C66FF867C}">
                  <a14:compatExt spid="_x0000_s4195"/>
                </a:ext>
                <a:ext uri="{FF2B5EF4-FFF2-40B4-BE49-F238E27FC236}">
                  <a16:creationId xmlns:a16="http://schemas.microsoft.com/office/drawing/2014/main" id="{00000000-0008-0000-0400-00006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445</xdr:row>
          <xdr:rowOff>0</xdr:rowOff>
        </xdr:from>
        <xdr:to>
          <xdr:col>5</xdr:col>
          <xdr:colOff>0</xdr:colOff>
          <xdr:row>446</xdr:row>
          <xdr:rowOff>0</xdr:rowOff>
        </xdr:to>
        <xdr:sp macro="" textlink="">
          <xdr:nvSpPr>
            <xdr:cNvPr id="4196" name="A10RatioDD06" hidden="1">
              <a:extLst>
                <a:ext uri="{63B3BB69-23CF-44E3-9099-C40C66FF867C}">
                  <a14:compatExt spid="_x0000_s4196"/>
                </a:ext>
                <a:ext uri="{FF2B5EF4-FFF2-40B4-BE49-F238E27FC236}">
                  <a16:creationId xmlns:a16="http://schemas.microsoft.com/office/drawing/2014/main" id="{00000000-0008-0000-0400-00006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452</xdr:row>
          <xdr:rowOff>0</xdr:rowOff>
        </xdr:from>
        <xdr:to>
          <xdr:col>10</xdr:col>
          <xdr:colOff>0</xdr:colOff>
          <xdr:row>453</xdr:row>
          <xdr:rowOff>0</xdr:rowOff>
        </xdr:to>
        <xdr:sp macro="" textlink="">
          <xdr:nvSpPr>
            <xdr:cNvPr id="4197" name="VariableDD6" hidden="1">
              <a:extLst>
                <a:ext uri="{63B3BB69-23CF-44E3-9099-C40C66FF867C}">
                  <a14:compatExt spid="_x0000_s4197"/>
                </a:ext>
                <a:ext uri="{FF2B5EF4-FFF2-40B4-BE49-F238E27FC236}">
                  <a16:creationId xmlns:a16="http://schemas.microsoft.com/office/drawing/2014/main" id="{00000000-0008-0000-0400-00006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454</xdr:row>
          <xdr:rowOff>0</xdr:rowOff>
        </xdr:from>
        <xdr:to>
          <xdr:col>5</xdr:col>
          <xdr:colOff>0</xdr:colOff>
          <xdr:row>455</xdr:row>
          <xdr:rowOff>0</xdr:rowOff>
        </xdr:to>
        <xdr:sp macro="" textlink="">
          <xdr:nvSpPr>
            <xdr:cNvPr id="4198" name="ValuePeriodDD6" hidden="1">
              <a:extLst>
                <a:ext uri="{63B3BB69-23CF-44E3-9099-C40C66FF867C}">
                  <a14:compatExt spid="_x0000_s4198"/>
                </a:ext>
                <a:ext uri="{FF2B5EF4-FFF2-40B4-BE49-F238E27FC236}">
                  <a16:creationId xmlns:a16="http://schemas.microsoft.com/office/drawing/2014/main" id="{00000000-0008-0000-0400-00006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485</xdr:row>
          <xdr:rowOff>0</xdr:rowOff>
        </xdr:from>
        <xdr:to>
          <xdr:col>5</xdr:col>
          <xdr:colOff>0</xdr:colOff>
          <xdr:row>486</xdr:row>
          <xdr:rowOff>0</xdr:rowOff>
        </xdr:to>
        <xdr:sp macro="" textlink="">
          <xdr:nvSpPr>
            <xdr:cNvPr id="4199" name="AFinYearDD11" hidden="1">
              <a:extLst>
                <a:ext uri="{63B3BB69-23CF-44E3-9099-C40C66FF867C}">
                  <a14:compatExt spid="_x0000_s4199"/>
                </a:ext>
                <a:ext uri="{FF2B5EF4-FFF2-40B4-BE49-F238E27FC236}">
                  <a16:creationId xmlns:a16="http://schemas.microsoft.com/office/drawing/2014/main" id="{00000000-0008-0000-0400-00006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455</xdr:row>
          <xdr:rowOff>0</xdr:rowOff>
        </xdr:from>
        <xdr:to>
          <xdr:col>5</xdr:col>
          <xdr:colOff>0</xdr:colOff>
          <xdr:row>456</xdr:row>
          <xdr:rowOff>0</xdr:rowOff>
        </xdr:to>
        <xdr:sp macro="" textlink="">
          <xdr:nvSpPr>
            <xdr:cNvPr id="4200" name="AFactorDD11" hidden="1">
              <a:extLst>
                <a:ext uri="{63B3BB69-23CF-44E3-9099-C40C66FF867C}">
                  <a14:compatExt spid="_x0000_s4200"/>
                </a:ext>
                <a:ext uri="{FF2B5EF4-FFF2-40B4-BE49-F238E27FC236}">
                  <a16:creationId xmlns:a16="http://schemas.microsoft.com/office/drawing/2014/main" id="{00000000-0008-0000-0400-00006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486</xdr:row>
          <xdr:rowOff>0</xdr:rowOff>
        </xdr:from>
        <xdr:to>
          <xdr:col>5</xdr:col>
          <xdr:colOff>0</xdr:colOff>
          <xdr:row>487</xdr:row>
          <xdr:rowOff>0</xdr:rowOff>
        </xdr:to>
        <xdr:sp macro="" textlink="">
          <xdr:nvSpPr>
            <xdr:cNvPr id="4201" name="A11RatioDD01" hidden="1">
              <a:extLst>
                <a:ext uri="{63B3BB69-23CF-44E3-9099-C40C66FF867C}">
                  <a14:compatExt spid="_x0000_s4201"/>
                </a:ext>
                <a:ext uri="{FF2B5EF4-FFF2-40B4-BE49-F238E27FC236}">
                  <a16:creationId xmlns:a16="http://schemas.microsoft.com/office/drawing/2014/main" id="{00000000-0008-0000-0400-00006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487</xdr:row>
          <xdr:rowOff>0</xdr:rowOff>
        </xdr:from>
        <xdr:to>
          <xdr:col>5</xdr:col>
          <xdr:colOff>0</xdr:colOff>
          <xdr:row>488</xdr:row>
          <xdr:rowOff>0</xdr:rowOff>
        </xdr:to>
        <xdr:sp macro="" textlink="">
          <xdr:nvSpPr>
            <xdr:cNvPr id="4202" name="A11RatioDD02"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488</xdr:row>
          <xdr:rowOff>0</xdr:rowOff>
        </xdr:from>
        <xdr:to>
          <xdr:col>5</xdr:col>
          <xdr:colOff>0</xdr:colOff>
          <xdr:row>489</xdr:row>
          <xdr:rowOff>0</xdr:rowOff>
        </xdr:to>
        <xdr:sp macro="" textlink="">
          <xdr:nvSpPr>
            <xdr:cNvPr id="4203" name="A11RatioDD03"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489</xdr:row>
          <xdr:rowOff>0</xdr:rowOff>
        </xdr:from>
        <xdr:to>
          <xdr:col>5</xdr:col>
          <xdr:colOff>0</xdr:colOff>
          <xdr:row>490</xdr:row>
          <xdr:rowOff>0</xdr:rowOff>
        </xdr:to>
        <xdr:sp macro="" textlink="">
          <xdr:nvSpPr>
            <xdr:cNvPr id="4204" name="A11RatioDD04"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490</xdr:row>
          <xdr:rowOff>0</xdr:rowOff>
        </xdr:from>
        <xdr:to>
          <xdr:col>5</xdr:col>
          <xdr:colOff>0</xdr:colOff>
          <xdr:row>491</xdr:row>
          <xdr:rowOff>0</xdr:rowOff>
        </xdr:to>
        <xdr:sp macro="" textlink="">
          <xdr:nvSpPr>
            <xdr:cNvPr id="4205" name="A11RatioDD05"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491</xdr:row>
          <xdr:rowOff>0</xdr:rowOff>
        </xdr:from>
        <xdr:to>
          <xdr:col>5</xdr:col>
          <xdr:colOff>0</xdr:colOff>
          <xdr:row>492</xdr:row>
          <xdr:rowOff>0</xdr:rowOff>
        </xdr:to>
        <xdr:sp macro="" textlink="">
          <xdr:nvSpPr>
            <xdr:cNvPr id="4206" name="A11RatioDD06"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222</xdr:row>
          <xdr:rowOff>0</xdr:rowOff>
        </xdr:from>
        <xdr:to>
          <xdr:col>12</xdr:col>
          <xdr:colOff>381000</xdr:colOff>
          <xdr:row>223</xdr:row>
          <xdr:rowOff>12700</xdr:rowOff>
        </xdr:to>
        <xdr:sp macro="" textlink="">
          <xdr:nvSpPr>
            <xdr:cNvPr id="4207" name="chkVarRows0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268</xdr:row>
          <xdr:rowOff>0</xdr:rowOff>
        </xdr:from>
        <xdr:to>
          <xdr:col>12</xdr:col>
          <xdr:colOff>381000</xdr:colOff>
          <xdr:row>269</xdr:row>
          <xdr:rowOff>12700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4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314</xdr:row>
          <xdr:rowOff>0</xdr:rowOff>
        </xdr:from>
        <xdr:to>
          <xdr:col>12</xdr:col>
          <xdr:colOff>381000</xdr:colOff>
          <xdr:row>315</xdr:row>
          <xdr:rowOff>12700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360</xdr:row>
          <xdr:rowOff>0</xdr:rowOff>
        </xdr:from>
        <xdr:to>
          <xdr:col>12</xdr:col>
          <xdr:colOff>381000</xdr:colOff>
          <xdr:row>361</xdr:row>
          <xdr:rowOff>12700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406</xdr:row>
          <xdr:rowOff>0</xdr:rowOff>
        </xdr:from>
        <xdr:to>
          <xdr:col>12</xdr:col>
          <xdr:colOff>381000</xdr:colOff>
          <xdr:row>407</xdr:row>
          <xdr:rowOff>12700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452</xdr:row>
          <xdr:rowOff>0</xdr:rowOff>
        </xdr:from>
        <xdr:to>
          <xdr:col>12</xdr:col>
          <xdr:colOff>381000</xdr:colOff>
          <xdr:row>453</xdr:row>
          <xdr:rowOff>12700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absoluteAnchor>
    <xdr:pos x="0" y="0"/>
    <xdr:ext cx="8658757" cy="6283931"/>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8757" cy="6283931"/>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58757" cy="6283931"/>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editAs="oneCell">
    <xdr:from>
      <xdr:col>5</xdr:col>
      <xdr:colOff>3543300</xdr:colOff>
      <xdr:row>2</xdr:row>
      <xdr:rowOff>23813</xdr:rowOff>
    </xdr:from>
    <xdr:to>
      <xdr:col>5</xdr:col>
      <xdr:colOff>3812521</xdr:colOff>
      <xdr:row>3</xdr:row>
      <xdr:rowOff>145757</xdr:rowOff>
    </xdr:to>
    <xdr:pic macro="[0]!CameraButtonPressed">
      <xdr:nvPicPr>
        <xdr:cNvPr id="5" name="btnCamIFRSFull" descr="CameraBtnSmall.bmp">
          <a:extLst>
            <a:ext uri="{FF2B5EF4-FFF2-40B4-BE49-F238E27FC236}">
              <a16:creationId xmlns:a16="http://schemas.microsoft.com/office/drawing/2014/main" id="{00000000-0008-0000-0800-000005000000}"/>
            </a:ext>
          </a:extLst>
        </xdr:cNvPr>
        <xdr:cNvPicPr>
          <a:picLocks/>
        </xdr:cNvPicPr>
      </xdr:nvPicPr>
      <xdr:blipFill>
        <a:blip xmlns:r="http://schemas.openxmlformats.org/officeDocument/2006/relationships" r:embed="rId1" cstate="print"/>
        <a:stretch>
          <a:fillRect/>
        </a:stretch>
      </xdr:blipFill>
      <xdr:spPr>
        <a:xfrm>
          <a:off x="4114800" y="23813"/>
          <a:ext cx="269221" cy="198144"/>
        </a:xfrm>
        <a:prstGeom prst="rect">
          <a:avLst/>
        </a:prstGeom>
      </xdr:spPr>
    </xdr:pic>
    <xdr:clientData fPrintsWithSheet="0"/>
  </xdr:twoCellAnchor>
  <xdr:twoCellAnchor editAs="oneCell">
    <xdr:from>
      <xdr:col>5</xdr:col>
      <xdr:colOff>2650332</xdr:colOff>
      <xdr:row>2</xdr:row>
      <xdr:rowOff>23813</xdr:rowOff>
    </xdr:from>
    <xdr:to>
      <xdr:col>5</xdr:col>
      <xdr:colOff>2919553</xdr:colOff>
      <xdr:row>3</xdr:row>
      <xdr:rowOff>145987</xdr:rowOff>
    </xdr:to>
    <xdr:pic macro="[0]!GotoPrevSheet">
      <xdr:nvPicPr>
        <xdr:cNvPr id="6" name="Picture 5" descr="prevbtn37c.bmp">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stretch>
          <a:fillRect/>
        </a:stretch>
      </xdr:blipFill>
      <xdr:spPr>
        <a:xfrm>
          <a:off x="3193257" y="23813"/>
          <a:ext cx="269221" cy="198374"/>
        </a:xfrm>
        <a:prstGeom prst="rect">
          <a:avLst/>
        </a:prstGeom>
      </xdr:spPr>
    </xdr:pic>
    <xdr:clientData/>
  </xdr:twoCellAnchor>
  <xdr:twoCellAnchor editAs="oneCell">
    <xdr:from>
      <xdr:col>5</xdr:col>
      <xdr:colOff>2950368</xdr:colOff>
      <xdr:row>2</xdr:row>
      <xdr:rowOff>23813</xdr:rowOff>
    </xdr:from>
    <xdr:to>
      <xdr:col>5</xdr:col>
      <xdr:colOff>3219589</xdr:colOff>
      <xdr:row>3</xdr:row>
      <xdr:rowOff>145987</xdr:rowOff>
    </xdr:to>
    <xdr:pic macro="[0]!GoHome">
      <xdr:nvPicPr>
        <xdr:cNvPr id="7" name="HomeBtn88" descr="homebtn37b.bmp">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stretch>
          <a:fillRect/>
        </a:stretch>
      </xdr:blipFill>
      <xdr:spPr>
        <a:xfrm>
          <a:off x="3493293" y="23813"/>
          <a:ext cx="269221" cy="198374"/>
        </a:xfrm>
        <a:prstGeom prst="rect">
          <a:avLst/>
        </a:prstGeom>
      </xdr:spPr>
    </xdr:pic>
    <xdr:clientData/>
  </xdr:twoCellAnchor>
  <xdr:twoCellAnchor editAs="oneCell">
    <xdr:from>
      <xdr:col>5</xdr:col>
      <xdr:colOff>3250407</xdr:colOff>
      <xdr:row>2</xdr:row>
      <xdr:rowOff>23813</xdr:rowOff>
    </xdr:from>
    <xdr:to>
      <xdr:col>5</xdr:col>
      <xdr:colOff>3519628</xdr:colOff>
      <xdr:row>3</xdr:row>
      <xdr:rowOff>145987</xdr:rowOff>
    </xdr:to>
    <xdr:pic macro="[0]!PrintCurrent">
      <xdr:nvPicPr>
        <xdr:cNvPr id="9" name="PrintBtn88" descr="printbtn37.bmp">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cstate="print"/>
        <a:stretch>
          <a:fillRect/>
        </a:stretch>
      </xdr:blipFill>
      <xdr:spPr>
        <a:xfrm>
          <a:off x="3793332" y="23813"/>
          <a:ext cx="269221" cy="1983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49213</xdr:colOff>
          <xdr:row>2</xdr:row>
          <xdr:rowOff>38100</xdr:rowOff>
        </xdr:from>
        <xdr:to>
          <xdr:col>5</xdr:col>
          <xdr:colOff>1338263</xdr:colOff>
          <xdr:row>4</xdr:row>
          <xdr:rowOff>19050</xdr:rowOff>
        </xdr:to>
        <xdr:sp macro="" textlink="">
          <xdr:nvSpPr>
            <xdr:cNvPr id="5121" name="chkKeyFigures" hidden="1">
              <a:extLst>
                <a:ext uri="{63B3BB69-23CF-44E3-9099-C40C66FF867C}">
                  <a14:compatExt spid="_x0000_s5121"/>
                </a:ext>
                <a:ext uri="{FF2B5EF4-FFF2-40B4-BE49-F238E27FC236}">
                  <a16:creationId xmlns:a16="http://schemas.microsoft.com/office/drawing/2014/main" id="{00000000-0008-0000-08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4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3" Type="http://schemas.openxmlformats.org/officeDocument/2006/relationships/vmlDrawing" Target="../drawings/vmlDrawing3.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 Type="http://schemas.openxmlformats.org/officeDocument/2006/relationships/drawing" Target="../drawings/drawing4.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4.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5" Type="http://schemas.openxmlformats.org/officeDocument/2006/relationships/ctrlProp" Target="../ctrlProps/ctrlProp58.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87.xml"/><Relationship Id="rId21" Type="http://schemas.openxmlformats.org/officeDocument/2006/relationships/ctrlProp" Target="../ctrlProps/ctrlProp82.xml"/><Relationship Id="rId42" Type="http://schemas.openxmlformats.org/officeDocument/2006/relationships/ctrlProp" Target="../ctrlProps/ctrlProp103.xml"/><Relationship Id="rId47" Type="http://schemas.openxmlformats.org/officeDocument/2006/relationships/ctrlProp" Target="../ctrlProps/ctrlProp108.xml"/><Relationship Id="rId63" Type="http://schemas.openxmlformats.org/officeDocument/2006/relationships/ctrlProp" Target="../ctrlProps/ctrlProp124.xml"/><Relationship Id="rId68" Type="http://schemas.openxmlformats.org/officeDocument/2006/relationships/ctrlProp" Target="../ctrlProps/ctrlProp129.xml"/><Relationship Id="rId84" Type="http://schemas.openxmlformats.org/officeDocument/2006/relationships/ctrlProp" Target="../ctrlProps/ctrlProp145.xml"/><Relationship Id="rId89" Type="http://schemas.openxmlformats.org/officeDocument/2006/relationships/ctrlProp" Target="../ctrlProps/ctrlProp150.xml"/><Relationship Id="rId2" Type="http://schemas.openxmlformats.org/officeDocument/2006/relationships/drawing" Target="../drawings/drawing5.xml"/><Relationship Id="rId16" Type="http://schemas.openxmlformats.org/officeDocument/2006/relationships/ctrlProp" Target="../ctrlProps/ctrlProp77.xml"/><Relationship Id="rId29" Type="http://schemas.openxmlformats.org/officeDocument/2006/relationships/ctrlProp" Target="../ctrlProps/ctrlProp90.xml"/><Relationship Id="rId107" Type="http://schemas.openxmlformats.org/officeDocument/2006/relationships/ctrlProp" Target="../ctrlProps/ctrlProp168.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3" Type="http://schemas.openxmlformats.org/officeDocument/2006/relationships/ctrlProp" Target="../ctrlProps/ctrlProp114.xml"/><Relationship Id="rId58" Type="http://schemas.openxmlformats.org/officeDocument/2006/relationships/ctrlProp" Target="../ctrlProps/ctrlProp119.xml"/><Relationship Id="rId66" Type="http://schemas.openxmlformats.org/officeDocument/2006/relationships/ctrlProp" Target="../ctrlProps/ctrlProp127.xml"/><Relationship Id="rId74" Type="http://schemas.openxmlformats.org/officeDocument/2006/relationships/ctrlProp" Target="../ctrlProps/ctrlProp135.xml"/><Relationship Id="rId79" Type="http://schemas.openxmlformats.org/officeDocument/2006/relationships/ctrlProp" Target="../ctrlProps/ctrlProp140.xml"/><Relationship Id="rId87" Type="http://schemas.openxmlformats.org/officeDocument/2006/relationships/ctrlProp" Target="../ctrlProps/ctrlProp148.xml"/><Relationship Id="rId102" Type="http://schemas.openxmlformats.org/officeDocument/2006/relationships/ctrlProp" Target="../ctrlProps/ctrlProp163.xml"/><Relationship Id="rId5" Type="http://schemas.openxmlformats.org/officeDocument/2006/relationships/ctrlProp" Target="../ctrlProps/ctrlProp66.xml"/><Relationship Id="rId61" Type="http://schemas.openxmlformats.org/officeDocument/2006/relationships/ctrlProp" Target="../ctrlProps/ctrlProp122.xml"/><Relationship Id="rId82" Type="http://schemas.openxmlformats.org/officeDocument/2006/relationships/ctrlProp" Target="../ctrlProps/ctrlProp143.xml"/><Relationship Id="rId90" Type="http://schemas.openxmlformats.org/officeDocument/2006/relationships/ctrlProp" Target="../ctrlProps/ctrlProp151.xml"/><Relationship Id="rId95" Type="http://schemas.openxmlformats.org/officeDocument/2006/relationships/ctrlProp" Target="../ctrlProps/ctrlProp156.xml"/><Relationship Id="rId19" Type="http://schemas.openxmlformats.org/officeDocument/2006/relationships/ctrlProp" Target="../ctrlProps/ctrlProp8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56" Type="http://schemas.openxmlformats.org/officeDocument/2006/relationships/ctrlProp" Target="../ctrlProps/ctrlProp117.xml"/><Relationship Id="rId64" Type="http://schemas.openxmlformats.org/officeDocument/2006/relationships/ctrlProp" Target="../ctrlProps/ctrlProp125.xml"/><Relationship Id="rId69" Type="http://schemas.openxmlformats.org/officeDocument/2006/relationships/ctrlProp" Target="../ctrlProps/ctrlProp130.xml"/><Relationship Id="rId77" Type="http://schemas.openxmlformats.org/officeDocument/2006/relationships/ctrlProp" Target="../ctrlProps/ctrlProp138.xml"/><Relationship Id="rId100" Type="http://schemas.openxmlformats.org/officeDocument/2006/relationships/ctrlProp" Target="../ctrlProps/ctrlProp161.xml"/><Relationship Id="rId105" Type="http://schemas.openxmlformats.org/officeDocument/2006/relationships/ctrlProp" Target="../ctrlProps/ctrlProp166.xml"/><Relationship Id="rId8" Type="http://schemas.openxmlformats.org/officeDocument/2006/relationships/ctrlProp" Target="../ctrlProps/ctrlProp69.xml"/><Relationship Id="rId51" Type="http://schemas.openxmlformats.org/officeDocument/2006/relationships/ctrlProp" Target="../ctrlProps/ctrlProp112.xml"/><Relationship Id="rId72" Type="http://schemas.openxmlformats.org/officeDocument/2006/relationships/ctrlProp" Target="../ctrlProps/ctrlProp133.xml"/><Relationship Id="rId80" Type="http://schemas.openxmlformats.org/officeDocument/2006/relationships/ctrlProp" Target="../ctrlProps/ctrlProp141.xml"/><Relationship Id="rId85" Type="http://schemas.openxmlformats.org/officeDocument/2006/relationships/ctrlProp" Target="../ctrlProps/ctrlProp146.xml"/><Relationship Id="rId93" Type="http://schemas.openxmlformats.org/officeDocument/2006/relationships/ctrlProp" Target="../ctrlProps/ctrlProp154.xml"/><Relationship Id="rId98" Type="http://schemas.openxmlformats.org/officeDocument/2006/relationships/ctrlProp" Target="../ctrlProps/ctrlProp159.xml"/><Relationship Id="rId3" Type="http://schemas.openxmlformats.org/officeDocument/2006/relationships/vmlDrawing" Target="../drawings/vmlDrawing4.v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59" Type="http://schemas.openxmlformats.org/officeDocument/2006/relationships/ctrlProp" Target="../ctrlProps/ctrlProp120.xml"/><Relationship Id="rId67" Type="http://schemas.openxmlformats.org/officeDocument/2006/relationships/ctrlProp" Target="../ctrlProps/ctrlProp128.xml"/><Relationship Id="rId103" Type="http://schemas.openxmlformats.org/officeDocument/2006/relationships/ctrlProp" Target="../ctrlProps/ctrlProp164.xml"/><Relationship Id="rId108" Type="http://schemas.openxmlformats.org/officeDocument/2006/relationships/ctrlProp" Target="../ctrlProps/ctrlProp169.xml"/><Relationship Id="rId20" Type="http://schemas.openxmlformats.org/officeDocument/2006/relationships/ctrlProp" Target="../ctrlProps/ctrlProp81.xml"/><Relationship Id="rId41" Type="http://schemas.openxmlformats.org/officeDocument/2006/relationships/ctrlProp" Target="../ctrlProps/ctrlProp102.xml"/><Relationship Id="rId54" Type="http://schemas.openxmlformats.org/officeDocument/2006/relationships/ctrlProp" Target="../ctrlProps/ctrlProp115.xml"/><Relationship Id="rId62" Type="http://schemas.openxmlformats.org/officeDocument/2006/relationships/ctrlProp" Target="../ctrlProps/ctrlProp123.xml"/><Relationship Id="rId70" Type="http://schemas.openxmlformats.org/officeDocument/2006/relationships/ctrlProp" Target="../ctrlProps/ctrlProp131.xml"/><Relationship Id="rId75" Type="http://schemas.openxmlformats.org/officeDocument/2006/relationships/ctrlProp" Target="../ctrlProps/ctrlProp136.xml"/><Relationship Id="rId83" Type="http://schemas.openxmlformats.org/officeDocument/2006/relationships/ctrlProp" Target="../ctrlProps/ctrlProp144.xml"/><Relationship Id="rId88" Type="http://schemas.openxmlformats.org/officeDocument/2006/relationships/ctrlProp" Target="../ctrlProps/ctrlProp149.xml"/><Relationship Id="rId91" Type="http://schemas.openxmlformats.org/officeDocument/2006/relationships/ctrlProp" Target="../ctrlProps/ctrlProp152.xml"/><Relationship Id="rId96" Type="http://schemas.openxmlformats.org/officeDocument/2006/relationships/ctrlProp" Target="../ctrlProps/ctrlProp157.xml"/><Relationship Id="rId1" Type="http://schemas.openxmlformats.org/officeDocument/2006/relationships/printerSettings" Target="../printerSettings/printerSettings5.bin"/><Relationship Id="rId6" Type="http://schemas.openxmlformats.org/officeDocument/2006/relationships/ctrlProp" Target="../ctrlProps/ctrlProp67.xm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57" Type="http://schemas.openxmlformats.org/officeDocument/2006/relationships/ctrlProp" Target="../ctrlProps/ctrlProp118.xml"/><Relationship Id="rId106" Type="http://schemas.openxmlformats.org/officeDocument/2006/relationships/ctrlProp" Target="../ctrlProps/ctrlProp167.xml"/><Relationship Id="rId10" Type="http://schemas.openxmlformats.org/officeDocument/2006/relationships/ctrlProp" Target="../ctrlProps/ctrlProp71.xml"/><Relationship Id="rId31" Type="http://schemas.openxmlformats.org/officeDocument/2006/relationships/ctrlProp" Target="../ctrlProps/ctrlProp92.xml"/><Relationship Id="rId44" Type="http://schemas.openxmlformats.org/officeDocument/2006/relationships/ctrlProp" Target="../ctrlProps/ctrlProp105.xml"/><Relationship Id="rId52" Type="http://schemas.openxmlformats.org/officeDocument/2006/relationships/ctrlProp" Target="../ctrlProps/ctrlProp113.xml"/><Relationship Id="rId60" Type="http://schemas.openxmlformats.org/officeDocument/2006/relationships/ctrlProp" Target="../ctrlProps/ctrlProp121.xml"/><Relationship Id="rId65" Type="http://schemas.openxmlformats.org/officeDocument/2006/relationships/ctrlProp" Target="../ctrlProps/ctrlProp126.xml"/><Relationship Id="rId73" Type="http://schemas.openxmlformats.org/officeDocument/2006/relationships/ctrlProp" Target="../ctrlProps/ctrlProp134.xml"/><Relationship Id="rId78" Type="http://schemas.openxmlformats.org/officeDocument/2006/relationships/ctrlProp" Target="../ctrlProps/ctrlProp139.xml"/><Relationship Id="rId81" Type="http://schemas.openxmlformats.org/officeDocument/2006/relationships/ctrlProp" Target="../ctrlProps/ctrlProp142.xml"/><Relationship Id="rId86" Type="http://schemas.openxmlformats.org/officeDocument/2006/relationships/ctrlProp" Target="../ctrlProps/ctrlProp147.xml"/><Relationship Id="rId94" Type="http://schemas.openxmlformats.org/officeDocument/2006/relationships/ctrlProp" Target="../ctrlProps/ctrlProp155.xml"/><Relationship Id="rId99" Type="http://schemas.openxmlformats.org/officeDocument/2006/relationships/ctrlProp" Target="../ctrlProps/ctrlProp160.xml"/><Relationship Id="rId101" Type="http://schemas.openxmlformats.org/officeDocument/2006/relationships/ctrlProp" Target="../ctrlProps/ctrlProp162.xml"/><Relationship Id="rId4" Type="http://schemas.openxmlformats.org/officeDocument/2006/relationships/ctrlProp" Target="../ctrlProps/ctrlProp65.xml"/><Relationship Id="rId9" Type="http://schemas.openxmlformats.org/officeDocument/2006/relationships/ctrlProp" Target="../ctrlProps/ctrlProp70.xml"/><Relationship Id="rId13" Type="http://schemas.openxmlformats.org/officeDocument/2006/relationships/ctrlProp" Target="../ctrlProps/ctrlProp74.xml"/><Relationship Id="rId18" Type="http://schemas.openxmlformats.org/officeDocument/2006/relationships/ctrlProp" Target="../ctrlProps/ctrlProp79.xml"/><Relationship Id="rId39" Type="http://schemas.openxmlformats.org/officeDocument/2006/relationships/ctrlProp" Target="../ctrlProps/ctrlProp100.xml"/><Relationship Id="rId109" Type="http://schemas.openxmlformats.org/officeDocument/2006/relationships/ctrlProp" Target="../ctrlProps/ctrlProp170.xml"/><Relationship Id="rId34" Type="http://schemas.openxmlformats.org/officeDocument/2006/relationships/ctrlProp" Target="../ctrlProps/ctrlProp95.xml"/><Relationship Id="rId50" Type="http://schemas.openxmlformats.org/officeDocument/2006/relationships/ctrlProp" Target="../ctrlProps/ctrlProp111.xml"/><Relationship Id="rId55" Type="http://schemas.openxmlformats.org/officeDocument/2006/relationships/ctrlProp" Target="../ctrlProps/ctrlProp116.xml"/><Relationship Id="rId76" Type="http://schemas.openxmlformats.org/officeDocument/2006/relationships/ctrlProp" Target="../ctrlProps/ctrlProp137.xml"/><Relationship Id="rId97" Type="http://schemas.openxmlformats.org/officeDocument/2006/relationships/ctrlProp" Target="../ctrlProps/ctrlProp158.xml"/><Relationship Id="rId104" Type="http://schemas.openxmlformats.org/officeDocument/2006/relationships/ctrlProp" Target="../ctrlProps/ctrlProp165.xml"/><Relationship Id="rId7" Type="http://schemas.openxmlformats.org/officeDocument/2006/relationships/ctrlProp" Target="../ctrlProps/ctrlProp68.xml"/><Relationship Id="rId71" Type="http://schemas.openxmlformats.org/officeDocument/2006/relationships/ctrlProp" Target="../ctrlProps/ctrlProp132.xml"/><Relationship Id="rId92" Type="http://schemas.openxmlformats.org/officeDocument/2006/relationships/ctrlProp" Target="../ctrlProps/ctrlProp15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trlProp" Target="../ctrlProps/ctrlProp17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R71"/>
  <sheetViews>
    <sheetView showGridLines="0" showRowColHeaders="0" tabSelected="1" zoomScaleNormal="100" workbookViewId="0">
      <selection activeCell="G77" sqref="G77"/>
    </sheetView>
  </sheetViews>
  <sheetFormatPr defaultColWidth="9.1796875" defaultRowHeight="14.5" x14ac:dyDescent="0.35"/>
  <cols>
    <col min="1" max="1" width="6.7265625" style="213" customWidth="1"/>
    <col min="2" max="2" width="0.81640625" style="213" customWidth="1"/>
    <col min="3" max="3" width="2.7265625" style="213" customWidth="1"/>
    <col min="4" max="4" width="22.7265625" style="213" customWidth="1"/>
    <col min="5" max="10" width="12.7265625" style="213" customWidth="1"/>
    <col min="11" max="11" width="2.26953125" style="213" customWidth="1"/>
    <col min="12" max="12" width="0.81640625" style="213" customWidth="1"/>
    <col min="13" max="18" width="9.1796875" style="1234" hidden="1" customWidth="1"/>
    <col min="19" max="16384" width="9.1796875" style="213"/>
  </cols>
  <sheetData>
    <row r="1" spans="1:18" ht="5.15" customHeight="1" x14ac:dyDescent="0.35">
      <c r="A1" s="214" t="s">
        <v>0</v>
      </c>
      <c r="B1" s="215"/>
      <c r="C1" s="215"/>
      <c r="D1" s="215"/>
      <c r="E1" s="215"/>
      <c r="F1" s="215"/>
      <c r="G1" s="215"/>
      <c r="H1" s="215"/>
      <c r="I1" s="215"/>
      <c r="J1" s="215"/>
      <c r="K1" s="215"/>
      <c r="L1" s="215"/>
      <c r="M1" s="1231"/>
      <c r="N1" s="1231"/>
      <c r="O1" s="1231"/>
      <c r="P1" s="1231"/>
      <c r="Q1" s="1231"/>
      <c r="R1" s="1231"/>
    </row>
    <row r="2" spans="1:18" ht="5.15" customHeight="1" x14ac:dyDescent="0.35">
      <c r="A2" s="215"/>
      <c r="B2" s="199"/>
      <c r="C2" s="199"/>
      <c r="D2" s="199"/>
      <c r="E2" s="199"/>
      <c r="F2" s="199"/>
      <c r="G2" s="199"/>
      <c r="H2" s="199"/>
      <c r="I2" s="199"/>
      <c r="J2" s="199"/>
      <c r="K2" s="199"/>
      <c r="L2" s="199"/>
      <c r="M2" s="1231"/>
      <c r="N2" s="1231"/>
      <c r="O2" s="1231"/>
      <c r="P2" s="1231"/>
      <c r="Q2" s="1231"/>
      <c r="R2" s="1231"/>
    </row>
    <row r="3" spans="1:18" ht="15" customHeight="1" x14ac:dyDescent="0.35">
      <c r="A3" s="214" t="s">
        <v>1</v>
      </c>
      <c r="B3" s="199"/>
      <c r="C3" s="240" t="s">
        <v>2</v>
      </c>
      <c r="D3" s="241"/>
      <c r="E3" s="241"/>
      <c r="F3" s="241"/>
      <c r="G3" s="241"/>
      <c r="H3" s="241"/>
      <c r="I3" s="241"/>
      <c r="J3" s="241"/>
      <c r="K3" s="242"/>
      <c r="L3" s="199"/>
      <c r="M3" s="1231"/>
      <c r="N3" s="1231"/>
      <c r="O3" s="1231"/>
      <c r="P3" s="1231"/>
      <c r="Q3" s="1231"/>
      <c r="R3" s="1235">
        <v>1</v>
      </c>
    </row>
    <row r="4" spans="1:18" ht="9" customHeight="1" x14ac:dyDescent="0.35">
      <c r="A4" s="215"/>
      <c r="B4" s="199"/>
      <c r="C4" s="243"/>
      <c r="D4" s="244"/>
      <c r="E4" s="244"/>
      <c r="F4" s="244"/>
      <c r="G4" s="244"/>
      <c r="H4" s="244"/>
      <c r="I4" s="244"/>
      <c r="J4" s="244"/>
      <c r="K4" s="245"/>
      <c r="L4" s="199"/>
      <c r="M4" s="1231"/>
      <c r="N4" s="1231"/>
      <c r="O4" s="1231"/>
      <c r="P4" s="1231"/>
      <c r="Q4" s="1231"/>
      <c r="R4" s="1235">
        <v>1000</v>
      </c>
    </row>
    <row r="5" spans="1:18" ht="15" customHeight="1" x14ac:dyDescent="0.35">
      <c r="A5" s="215"/>
      <c r="B5" s="200" t="s">
        <v>3</v>
      </c>
      <c r="C5" s="246" t="s">
        <v>4</v>
      </c>
      <c r="D5" s="247"/>
      <c r="E5" s="229"/>
      <c r="F5" s="1397" t="s">
        <v>6381</v>
      </c>
      <c r="G5" s="1398"/>
      <c r="H5" s="1398"/>
      <c r="I5" s="1399"/>
      <c r="J5" s="248"/>
      <c r="K5" s="249">
        <v>5</v>
      </c>
      <c r="L5" s="202"/>
      <c r="M5" s="1231"/>
      <c r="N5" s="1232">
        <v>1</v>
      </c>
      <c r="O5" s="1232"/>
      <c r="P5" s="1232"/>
      <c r="Q5" s="1232"/>
      <c r="R5" s="1236">
        <v>1000000</v>
      </c>
    </row>
    <row r="6" spans="1:18" ht="7" customHeight="1" x14ac:dyDescent="0.35">
      <c r="A6" s="215"/>
      <c r="B6" s="200"/>
      <c r="C6" s="246"/>
      <c r="D6" s="247"/>
      <c r="E6" s="247"/>
      <c r="F6" s="247"/>
      <c r="G6" s="247"/>
      <c r="H6" s="247"/>
      <c r="I6" s="247"/>
      <c r="J6" s="248"/>
      <c r="K6" s="249"/>
      <c r="L6" s="202"/>
      <c r="M6" s="1231"/>
      <c r="N6" s="1232"/>
      <c r="O6" s="1232"/>
      <c r="P6" s="1232"/>
      <c r="Q6" s="1232"/>
      <c r="R6" s="1233"/>
    </row>
    <row r="7" spans="1:18" x14ac:dyDescent="0.35">
      <c r="A7" s="215"/>
      <c r="B7" s="200" t="s">
        <v>5</v>
      </c>
      <c r="C7" s="246" t="s">
        <v>6</v>
      </c>
      <c r="D7" s="247"/>
      <c r="E7" s="247"/>
      <c r="F7" s="294">
        <v>1</v>
      </c>
      <c r="G7" s="295">
        <v>2</v>
      </c>
      <c r="H7" s="295" t="s">
        <v>7</v>
      </c>
      <c r="I7" s="295"/>
      <c r="J7" s="248">
        <v>4</v>
      </c>
      <c r="K7" s="249"/>
      <c r="L7" s="202"/>
      <c r="M7" s="1231"/>
      <c r="N7" s="1232"/>
      <c r="O7" s="1232"/>
      <c r="P7" s="1232"/>
      <c r="Q7" s="1232"/>
      <c r="R7" s="1233"/>
    </row>
    <row r="8" spans="1:18" hidden="1" x14ac:dyDescent="0.35">
      <c r="A8" s="215"/>
      <c r="B8" s="200"/>
      <c r="C8" s="246" t="s">
        <v>8</v>
      </c>
      <c r="D8" s="247"/>
      <c r="E8" s="247"/>
      <c r="F8" s="250"/>
      <c r="G8" s="250"/>
      <c r="H8" s="295"/>
      <c r="I8" s="295"/>
      <c r="J8" s="248"/>
      <c r="K8" s="249"/>
      <c r="L8" s="202"/>
      <c r="M8" s="1231"/>
      <c r="N8" s="1232"/>
      <c r="O8" s="1232"/>
      <c r="P8" s="1232"/>
      <c r="Q8" s="1232"/>
      <c r="R8" s="1233"/>
    </row>
    <row r="9" spans="1:18" ht="14.15" customHeight="1" x14ac:dyDescent="0.35">
      <c r="A9" s="215"/>
      <c r="B9" s="200" t="s">
        <v>9</v>
      </c>
      <c r="C9" s="260" t="s">
        <v>10</v>
      </c>
      <c r="D9" s="229"/>
      <c r="E9" s="229"/>
      <c r="F9" s="1319" t="str">
        <f>IF(J9&lt;&gt;0,J9&amp;" "&amp;IF(Language&lt;&gt;7,IF(J9=1,$B$5,$B$9),IF(AND(RIGHT(J9,1)="1",ABS(J9)&lt;&gt;11),"год",IF(AND(OR(RIGHT(J9,1)="2",RIGHT(J9,1)="3",RIGHT(J9,1)="4"),OR(ABS(J9)&lt;5,ABS(J9)&gt;20)),"года","лет"))),"")&amp;IF(AND(J9&lt;&gt;0,J10&lt;&gt;0)," +","")</f>
        <v/>
      </c>
      <c r="G9" s="1323" t="str">
        <f>IF(K9&lt;&gt;0,K9&amp;" "&amp;IF(Language&lt;&gt;7,IF(K9=1,$B$5,$B$9),IF(AND(RIGHT(K9,1)="1",ABS(K9)&lt;&gt;11),"год",IF(AND(OR(RIGHT(K9,1)="2",RIGHT(K9,1)="3",RIGHT(K9,1)="4"),OR(ABS(K9)&lt;5,ABS(K9)&gt;20)),"года","лет"))),"")&amp;IF(AND(K9&lt;&gt;0,K10&lt;&gt;0)," +","")</f>
        <v>5 years</v>
      </c>
      <c r="H9" s="1321" t="str">
        <f>IF(L9&lt;&gt;0,L9&amp;" "&amp;IF(Language&lt;&gt;7,IF(L9=1,$B$5,$B$9),IF(AND(RIGHT(L9,1)="1",ABS(L9)&lt;&gt;11),"год",IF(AND(OR(RIGHT(L9,1)="2",RIGHT(L9,1)="3",RIGHT(L9,1)="4"),OR(ABS(L9)&lt;5,ABS(L9)&gt;20)),"года","лет"))),"")&amp;IF(L10&lt;&gt;0," +","")</f>
        <v>5 years +</v>
      </c>
      <c r="I9" s="296"/>
      <c r="J9" s="248">
        <f>INT((InvTime*12+InvTimeMonths)/12)</f>
        <v>0</v>
      </c>
      <c r="K9" s="249">
        <f>INT((InvTime2*12+InvTimeMonths2)/12)</f>
        <v>5</v>
      </c>
      <c r="L9" s="202">
        <f>INT((InvTime*12+InvTimeMonths+InvTime2*12+InvTimeMonths2)/12)</f>
        <v>5</v>
      </c>
      <c r="M9" s="1231"/>
      <c r="N9" s="1232"/>
      <c r="O9" s="1232"/>
      <c r="P9" s="1232"/>
      <c r="Q9" s="1232"/>
      <c r="R9" s="1233"/>
    </row>
    <row r="10" spans="1:18" x14ac:dyDescent="0.35">
      <c r="A10" s="215"/>
      <c r="B10" s="200" t="s">
        <v>11</v>
      </c>
      <c r="C10" s="260" t="s">
        <v>12</v>
      </c>
      <c r="D10" s="229"/>
      <c r="E10" s="230"/>
      <c r="F10" s="1320" t="str">
        <f>IF(J10&lt;&gt;0,J10&amp;" "&amp;IF(Language&lt;&gt;7,IF(J10=1,$B$7,$B$10),IF(AND(RIGHT(J10,1)="1",ABS(J10)&lt;&gt;11),"месяц",IF(AND(OR(RIGHT(J10,1)="2",RIGHT(J10,1)="3",RIGHT(J10,1)="4"),OR(ABS(J10)&lt;5,ABS(J10)&gt;20)),"месяца","месяцев"))),"")</f>
        <v>4 months</v>
      </c>
      <c r="G10" s="1324" t="str">
        <f>IF(K10&lt;&gt;0,K10&amp;" "&amp;IF(Language&lt;&gt;7,IF(K10=1,$B$7,$B$10),IF(AND(RIGHT(K10,1)="1",ABS(K10)&lt;&gt;11),"месяц",IF(AND(OR(RIGHT(K10,1)="2",RIGHT(K10,1)="3",RIGHT(K10,1)="4"),OR(ABS(K10)&lt;5,ABS(K10)&gt;20)),"месяца","месяцев"))),"")</f>
        <v/>
      </c>
      <c r="H10" s="1322" t="str">
        <f>IF(L10&lt;&gt;0,L10&amp;" "&amp;IF(Language&lt;&gt;7,IF(L10=1,$B$7,$B$10),IF(AND(RIGHT(L10,1)="1",ABS(L10)&lt;&gt;11),"месяц",IF(AND(OR(RIGHT(L10,1)="2",RIGHT(L10,1)="3",RIGHT(L10,1)="4"),OR(ABS(L10)&lt;5,ABS(L10)&gt;20)),"месяца","месяцев"))),"")</f>
        <v>4 months</v>
      </c>
      <c r="I10" s="296"/>
      <c r="J10" s="248">
        <f>InvTime*12+InvTimeMonths-J9*12</f>
        <v>4</v>
      </c>
      <c r="K10" s="249">
        <f>InvTime2*12+InvTimeMonths2-K9*12</f>
        <v>0</v>
      </c>
      <c r="L10" s="202">
        <f>InvTime*12+InvTimeMonths+InvTime2*12+InvTimeMonths2-L9*12</f>
        <v>4</v>
      </c>
      <c r="M10" s="1231"/>
      <c r="N10" s="1232"/>
      <c r="O10" s="1232"/>
      <c r="P10" s="1232"/>
      <c r="Q10" s="1232"/>
      <c r="R10" s="1233"/>
    </row>
    <row r="11" spans="1:18" ht="7" customHeight="1" x14ac:dyDescent="0.35">
      <c r="A11" s="215"/>
      <c r="B11" s="201"/>
      <c r="C11" s="246"/>
      <c r="D11" s="251"/>
      <c r="E11" s="230"/>
      <c r="F11" s="268"/>
      <c r="G11" s="297"/>
      <c r="H11" s="297"/>
      <c r="I11" s="297"/>
      <c r="J11" s="248"/>
      <c r="K11" s="249"/>
      <c r="L11" s="202"/>
      <c r="M11" s="1231"/>
      <c r="N11" s="1232"/>
      <c r="O11" s="1232"/>
      <c r="P11" s="1232"/>
      <c r="Q11" s="1232"/>
      <c r="R11" s="1233"/>
    </row>
    <row r="12" spans="1:18" ht="14.15" customHeight="1" x14ac:dyDescent="0.35">
      <c r="A12" s="215"/>
      <c r="B12" s="201"/>
      <c r="C12" s="246" t="s">
        <v>13</v>
      </c>
      <c r="D12" s="247"/>
      <c r="E12" s="247"/>
      <c r="F12" s="1325">
        <v>1</v>
      </c>
      <c r="G12" s="1327">
        <v>12</v>
      </c>
      <c r="H12" s="254"/>
      <c r="I12" s="254"/>
      <c r="J12" s="248"/>
      <c r="K12" s="303"/>
      <c r="L12" s="202"/>
      <c r="M12" s="1231"/>
      <c r="N12" s="1232"/>
      <c r="O12" s="1232"/>
      <c r="P12" s="1232"/>
      <c r="Q12" s="1232"/>
      <c r="R12" s="1233"/>
    </row>
    <row r="13" spans="1:18" ht="14.15" customHeight="1" x14ac:dyDescent="0.35">
      <c r="A13" s="215"/>
      <c r="B13" s="201"/>
      <c r="C13" s="246" t="s">
        <v>14</v>
      </c>
      <c r="D13" s="229"/>
      <c r="E13" s="229"/>
      <c r="F13" s="1326">
        <v>4</v>
      </c>
      <c r="G13" s="1329">
        <v>5</v>
      </c>
      <c r="H13" s="1328">
        <f>F13+G13</f>
        <v>9</v>
      </c>
      <c r="I13" s="255"/>
      <c r="J13" s="248">
        <v>0</v>
      </c>
      <c r="K13" s="249"/>
      <c r="L13" s="202"/>
      <c r="M13" s="1231"/>
      <c r="N13" s="1232"/>
      <c r="O13" s="1232"/>
      <c r="P13" s="1232"/>
      <c r="Q13" s="1232"/>
      <c r="R13" s="1233"/>
    </row>
    <row r="14" spans="1:18" ht="4" customHeight="1" x14ac:dyDescent="0.35">
      <c r="A14" s="215"/>
      <c r="B14" s="201"/>
      <c r="C14" s="246"/>
      <c r="D14" s="229"/>
      <c r="E14" s="229"/>
      <c r="F14" s="256"/>
      <c r="G14" s="256"/>
      <c r="H14" s="257"/>
      <c r="I14" s="257"/>
      <c r="J14" s="258"/>
      <c r="K14" s="259"/>
      <c r="L14" s="199"/>
      <c r="M14" s="1231"/>
      <c r="N14" s="1231"/>
      <c r="O14" s="1231"/>
      <c r="P14" s="1231"/>
      <c r="Q14" s="1231"/>
      <c r="R14" s="1231"/>
    </row>
    <row r="15" spans="1:18" ht="12.75" customHeight="1" x14ac:dyDescent="0.35">
      <c r="A15" s="215"/>
      <c r="B15" s="201"/>
      <c r="C15" s="246"/>
      <c r="D15" s="229"/>
      <c r="E15" s="229"/>
      <c r="F15" s="299" t="s">
        <v>15</v>
      </c>
      <c r="G15" s="256"/>
      <c r="H15" s="257"/>
      <c r="I15" s="257"/>
      <c r="J15" s="258"/>
      <c r="K15" s="259"/>
      <c r="L15" s="199"/>
      <c r="M15" s="1231"/>
      <c r="N15" s="1231"/>
      <c r="O15" s="1231"/>
      <c r="P15" s="1231"/>
      <c r="Q15" s="1231"/>
      <c r="R15" s="1231"/>
    </row>
    <row r="16" spans="1:18" ht="14.15" customHeight="1" x14ac:dyDescent="0.35">
      <c r="A16" s="216">
        <v>1</v>
      </c>
      <c r="B16" s="201"/>
      <c r="C16" s="260" t="s">
        <v>16</v>
      </c>
      <c r="D16" s="247"/>
      <c r="E16" s="247"/>
      <c r="F16" s="253" t="str">
        <f>IF(AND(InvMonth&gt;0,InvYear&gt;0),TEXT(InvMonth,"00")&amp;"/"&amp;TEXT(InvYear,"0000"),"")</f>
        <v>09/2019</v>
      </c>
      <c r="G16" s="300" t="str">
        <f>IF(BeginEnd=0,"(in the beginning of period)","(in the end of period)")</f>
        <v>(in the beginning of period)</v>
      </c>
      <c r="H16" s="234"/>
      <c r="I16" s="234"/>
      <c r="J16" s="234"/>
      <c r="K16" s="304"/>
      <c r="L16" s="199"/>
      <c r="M16" s="1231"/>
      <c r="N16" s="1231"/>
      <c r="O16" s="1231"/>
      <c r="P16" s="1231"/>
      <c r="Q16" s="1231"/>
      <c r="R16" s="1231"/>
    </row>
    <row r="17" spans="1:18" ht="14.15" customHeight="1" x14ac:dyDescent="0.35">
      <c r="A17" s="217">
        <v>380</v>
      </c>
      <c r="B17" s="201"/>
      <c r="C17" s="260" t="s">
        <v>17</v>
      </c>
      <c r="D17" s="247"/>
      <c r="E17" s="247"/>
      <c r="F17" s="253" t="str">
        <f ca="1">IF(InvTimeEnds&lt;&gt;"",IF(LEN(OFFSET(Calculations!$G$11,0,CalcPoint))&lt;7,"0","")&amp;OFFSET(Calculations!$G$11,0,CalcPoint),"")</f>
        <v>09/2019</v>
      </c>
      <c r="G17" s="300" t="str">
        <f>IF(CalcPoint=0,"(in the beginning of period)","(in the end of period)")</f>
        <v>(in the beginning of period)</v>
      </c>
      <c r="H17" s="234"/>
      <c r="I17" s="234"/>
      <c r="J17" s="234"/>
      <c r="K17" s="304"/>
      <c r="L17" s="199"/>
      <c r="M17" s="1231"/>
      <c r="N17" s="1231"/>
      <c r="O17" s="1231"/>
      <c r="P17" s="1231"/>
      <c r="Q17" s="1231"/>
      <c r="R17" s="1231"/>
    </row>
    <row r="18" spans="1:18" ht="14.15" customHeight="1" x14ac:dyDescent="0.35">
      <c r="A18" s="215"/>
      <c r="B18" s="201"/>
      <c r="C18" s="260" t="s">
        <v>18</v>
      </c>
      <c r="D18" s="247"/>
      <c r="E18" s="247"/>
      <c r="F18" s="253" t="str">
        <f>IF(AND(LastMonth&gt;0,LastYear&gt;0),TEXT(LastMonth,"00")&amp;"/"&amp;TEXT(LastYear,"0000"),"")</f>
        <v>12/2024</v>
      </c>
      <c r="G18" s="300" t="s">
        <v>19</v>
      </c>
      <c r="H18" s="234"/>
      <c r="I18" s="234"/>
      <c r="J18" s="234"/>
      <c r="K18" s="304"/>
      <c r="L18" s="199"/>
      <c r="M18" s="1231"/>
      <c r="N18" s="1231"/>
      <c r="O18" s="1231"/>
      <c r="P18" s="1231"/>
      <c r="Q18" s="1231"/>
      <c r="R18" s="1231"/>
    </row>
    <row r="19" spans="1:18" ht="7" customHeight="1" x14ac:dyDescent="0.35">
      <c r="A19" s="215"/>
      <c r="B19" s="201"/>
      <c r="C19" s="262"/>
      <c r="D19" s="247"/>
      <c r="E19" s="247"/>
      <c r="F19" s="256"/>
      <c r="G19" s="256"/>
      <c r="H19" s="234"/>
      <c r="I19" s="234"/>
      <c r="J19" s="234"/>
      <c r="K19" s="304"/>
      <c r="L19" s="199"/>
      <c r="M19" s="1231"/>
      <c r="N19" s="1231"/>
      <c r="O19" s="1231"/>
      <c r="P19" s="1231"/>
      <c r="Q19" s="1231"/>
      <c r="R19" s="1231"/>
    </row>
    <row r="20" spans="1:18" ht="14.15" customHeight="1" x14ac:dyDescent="0.35">
      <c r="A20" s="215"/>
      <c r="B20" s="201"/>
      <c r="C20" s="246" t="s">
        <v>20</v>
      </c>
      <c r="D20" s="247"/>
      <c r="E20" s="247"/>
      <c r="F20" s="263">
        <v>1</v>
      </c>
      <c r="G20" s="256"/>
      <c r="H20" s="234"/>
      <c r="I20" s="234"/>
      <c r="J20" s="234"/>
      <c r="K20" s="304"/>
      <c r="L20" s="199"/>
      <c r="M20" s="1231"/>
      <c r="N20" s="1231"/>
      <c r="O20" s="1231"/>
      <c r="P20" s="1231"/>
      <c r="Q20" s="1231"/>
      <c r="R20" s="1231"/>
    </row>
    <row r="21" spans="1:18" ht="14.15" customHeight="1" x14ac:dyDescent="0.35">
      <c r="A21" s="215"/>
      <c r="B21" s="201"/>
      <c r="C21" s="246" t="s">
        <v>21</v>
      </c>
      <c r="D21" s="229"/>
      <c r="E21" s="229"/>
      <c r="F21" s="264" t="s">
        <v>6226</v>
      </c>
      <c r="G21" s="256"/>
      <c r="H21" s="256"/>
      <c r="I21" s="256"/>
      <c r="J21" s="258"/>
      <c r="K21" s="259"/>
      <c r="L21" s="199"/>
      <c r="M21" s="1231"/>
      <c r="N21" s="1231"/>
      <c r="O21" s="1231"/>
      <c r="P21" s="1231"/>
      <c r="Q21" s="1231"/>
      <c r="R21" s="1231"/>
    </row>
    <row r="22" spans="1:18" ht="7" customHeight="1" x14ac:dyDescent="0.35">
      <c r="A22" s="215"/>
      <c r="B22" s="201"/>
      <c r="C22" s="246"/>
      <c r="D22" s="234"/>
      <c r="E22" s="229"/>
      <c r="F22" s="234"/>
      <c r="G22" s="265"/>
      <c r="H22" s="234"/>
      <c r="I22" s="234"/>
      <c r="J22" s="256"/>
      <c r="K22" s="266"/>
      <c r="L22" s="199"/>
      <c r="M22" s="1231"/>
      <c r="N22" s="1231"/>
      <c r="O22" s="1231"/>
      <c r="P22" s="1231"/>
      <c r="Q22" s="1231"/>
      <c r="R22" s="1231"/>
    </row>
    <row r="23" spans="1:18" ht="14.15" customHeight="1" x14ac:dyDescent="0.35">
      <c r="A23" s="215"/>
      <c r="B23" s="201"/>
      <c r="C23" s="246" t="s">
        <v>22</v>
      </c>
      <c r="D23" s="229"/>
      <c r="E23" s="229"/>
      <c r="F23" s="267">
        <v>2.75</v>
      </c>
      <c r="G23" s="301" t="s">
        <v>23</v>
      </c>
      <c r="H23" s="229"/>
      <c r="I23" s="229"/>
      <c r="J23" s="1247" t="str">
        <f>IF(VariableRate=1,SpecsTxt!$B$22&amp;" ","")&amp;IF(MYDisc,MidyearTxt,"")</f>
        <v/>
      </c>
      <c r="K23" s="266"/>
      <c r="L23" s="199"/>
      <c r="M23" s="1231"/>
      <c r="N23" s="1231"/>
      <c r="O23" s="1231"/>
      <c r="P23" s="1231"/>
      <c r="Q23" s="1231"/>
      <c r="R23" s="1231"/>
    </row>
    <row r="24" spans="1:18" x14ac:dyDescent="0.35">
      <c r="A24" s="215"/>
      <c r="B24" s="201" t="s">
        <v>24</v>
      </c>
      <c r="C24" s="246" t="s">
        <v>25</v>
      </c>
      <c r="D24" s="247"/>
      <c r="E24" s="247"/>
      <c r="F24" s="1330">
        <f>IF(Period&gt;0,(1+DiscYear/100)^(1/(12/Period))-1,"")</f>
        <v>2.2632796417700884E-3</v>
      </c>
      <c r="G24" s="270">
        <f>IF(Period2&gt;0,(1+DiscYear/100)^(1/(12/Period2))-1,"")</f>
        <v>2.750000000000008E-2</v>
      </c>
      <c r="H24" s="271" t="str">
        <f>IF(DiscYear&lt;&gt;0," ( = "&amp;FIXED(F25*100,2)&amp;"% "&amp;IF(Language&lt;&gt;4,LOWER($B$24),$B$24)&amp;" )","")</f>
        <v xml:space="preserve"> ( = 0.23% per month )</v>
      </c>
      <c r="I24" s="271"/>
      <c r="J24" s="268"/>
      <c r="K24" s="266"/>
      <c r="L24" s="199"/>
      <c r="M24" s="1231"/>
      <c r="N24" s="1231"/>
      <c r="O24" s="1231"/>
      <c r="P24" s="1231"/>
      <c r="Q24" s="1231"/>
      <c r="R24" s="1231"/>
    </row>
    <row r="25" spans="1:18" hidden="1" x14ac:dyDescent="0.35">
      <c r="A25" s="215"/>
      <c r="B25" s="199"/>
      <c r="C25" s="246"/>
      <c r="D25" s="247"/>
      <c r="E25" s="247"/>
      <c r="F25" s="272">
        <f>(1+DiscYear/100)^(1/12)-1</f>
        <v>2.2632796417700884E-3</v>
      </c>
      <c r="G25" s="273"/>
      <c r="H25" s="268"/>
      <c r="I25" s="268"/>
      <c r="J25" s="274"/>
      <c r="K25" s="266"/>
      <c r="L25" s="199"/>
      <c r="M25" s="1231"/>
      <c r="N25" s="1231"/>
      <c r="O25" s="1231"/>
      <c r="P25" s="1231"/>
      <c r="Q25" s="1231"/>
      <c r="R25" s="1231"/>
    </row>
    <row r="26" spans="1:18" hidden="1" x14ac:dyDescent="0.35">
      <c r="A26" s="215"/>
      <c r="B26" s="199"/>
      <c r="C26" s="246" t="s">
        <v>26</v>
      </c>
      <c r="D26" s="247"/>
      <c r="E26" s="247"/>
      <c r="F26" s="267"/>
      <c r="G26" s="301" t="s">
        <v>27</v>
      </c>
      <c r="H26" s="268"/>
      <c r="I26" s="268"/>
      <c r="J26" s="274"/>
      <c r="K26" s="266"/>
      <c r="L26" s="199"/>
      <c r="M26" s="1231"/>
      <c r="N26" s="1231"/>
      <c r="O26" s="1231"/>
      <c r="P26" s="1231"/>
      <c r="Q26" s="1231"/>
      <c r="R26" s="1231"/>
    </row>
    <row r="27" spans="1:18" hidden="1" x14ac:dyDescent="0.35">
      <c r="A27" s="215"/>
      <c r="B27" s="199"/>
      <c r="C27" s="246" t="s">
        <v>25</v>
      </c>
      <c r="D27" s="247"/>
      <c r="E27" s="247"/>
      <c r="F27" s="269">
        <f>IF(Period&gt;0,(1+DiscYearEquity/100)^(1/(12/Period))-1,"")</f>
        <v>0</v>
      </c>
      <c r="G27" s="270">
        <f>IF(Period2&gt;0,(1+DiscYearEquity/100)^(1/(12/Period2))-1,"")</f>
        <v>0</v>
      </c>
      <c r="H27" s="268"/>
      <c r="I27" s="268"/>
      <c r="J27" s="274"/>
      <c r="K27" s="266"/>
      <c r="L27" s="199"/>
      <c r="M27" s="1231"/>
      <c r="N27" s="1231"/>
      <c r="O27" s="1231"/>
      <c r="P27" s="1231"/>
      <c r="Q27" s="1231"/>
      <c r="R27" s="1231"/>
    </row>
    <row r="28" spans="1:18" ht="7" customHeight="1" x14ac:dyDescent="0.35">
      <c r="A28" s="215"/>
      <c r="B28" s="199"/>
      <c r="C28" s="246"/>
      <c r="D28" s="247"/>
      <c r="E28" s="247"/>
      <c r="F28" s="275">
        <f>(1+DiscYearEquity/100)^(1/12)-1</f>
        <v>0</v>
      </c>
      <c r="G28" s="273"/>
      <c r="H28" s="234"/>
      <c r="I28" s="234"/>
      <c r="J28" s="274"/>
      <c r="K28" s="266"/>
      <c r="L28" s="199"/>
      <c r="M28" s="1231"/>
      <c r="N28" s="1231"/>
      <c r="O28" s="1231"/>
      <c r="P28" s="1231"/>
      <c r="Q28" s="1231"/>
      <c r="R28" s="1231"/>
    </row>
    <row r="29" spans="1:18" ht="12.75" customHeight="1" x14ac:dyDescent="0.35">
      <c r="A29" s="215"/>
      <c r="B29" s="199"/>
      <c r="C29" s="260"/>
      <c r="D29" s="229"/>
      <c r="E29" s="229"/>
      <c r="F29" s="299">
        <f>InvYear</f>
        <v>2019</v>
      </c>
      <c r="G29" s="299">
        <f>F29+1</f>
        <v>2020</v>
      </c>
      <c r="H29" s="299">
        <f>G29+1</f>
        <v>2021</v>
      </c>
      <c r="I29" s="299">
        <f>H29+1</f>
        <v>2022</v>
      </c>
      <c r="J29" s="302">
        <f>I29+1</f>
        <v>2023</v>
      </c>
      <c r="K29" s="266"/>
      <c r="L29" s="199"/>
      <c r="M29" s="1231"/>
      <c r="N29" s="1231"/>
      <c r="O29" s="1231"/>
      <c r="P29" s="1231"/>
      <c r="Q29" s="1231"/>
      <c r="R29" s="1231"/>
    </row>
    <row r="30" spans="1:18" ht="14.15" customHeight="1" x14ac:dyDescent="0.35">
      <c r="A30" s="215"/>
      <c r="B30" s="199"/>
      <c r="C30" s="246" t="s">
        <v>28</v>
      </c>
      <c r="D30" s="229"/>
      <c r="E30" s="276"/>
      <c r="F30" s="264">
        <v>28</v>
      </c>
      <c r="G30" s="264">
        <f ca="1">_Tax1</f>
        <v>28</v>
      </c>
      <c r="H30" s="264">
        <f ca="1">_Tax2</f>
        <v>28</v>
      </c>
      <c r="I30" s="277">
        <f ca="1">_Tax3</f>
        <v>28</v>
      </c>
      <c r="J30" s="264">
        <f ca="1">_Tax4</f>
        <v>28</v>
      </c>
      <c r="K30" s="266"/>
      <c r="L30" s="199"/>
      <c r="M30" s="1231"/>
      <c r="N30" s="1231"/>
      <c r="O30" s="1231"/>
      <c r="P30" s="1231"/>
      <c r="Q30" s="1231"/>
      <c r="R30" s="1231"/>
    </row>
    <row r="31" spans="1:18" ht="9" customHeight="1" x14ac:dyDescent="0.35">
      <c r="A31" s="215"/>
      <c r="B31" s="199"/>
      <c r="C31" s="278"/>
      <c r="D31" s="298"/>
      <c r="E31" s="279"/>
      <c r="F31" s="280">
        <f ca="1">OFFSET(F31,-1,0)</f>
        <v>28</v>
      </c>
      <c r="G31" s="280">
        <f ca="1">OFFSET(G31,-1,0)</f>
        <v>28</v>
      </c>
      <c r="H31" s="280">
        <f ca="1">OFFSET(H31,-1,0)</f>
        <v>28</v>
      </c>
      <c r="I31" s="280">
        <f ca="1">OFFSET(I31,-1,0)</f>
        <v>28</v>
      </c>
      <c r="J31" s="280">
        <f ca="1">OFFSET(J31,-1,0)</f>
        <v>28</v>
      </c>
      <c r="K31" s="281"/>
      <c r="L31" s="199"/>
      <c r="M31" s="1231"/>
      <c r="N31" s="1231"/>
      <c r="O31" s="1231"/>
      <c r="P31" s="1231"/>
      <c r="Q31" s="1231"/>
      <c r="R31" s="1231"/>
    </row>
    <row r="32" spans="1:18" ht="6" customHeight="1" x14ac:dyDescent="0.35">
      <c r="A32" s="215"/>
      <c r="B32" s="199"/>
      <c r="C32" s="203"/>
      <c r="D32" s="204"/>
      <c r="E32" s="197"/>
      <c r="F32" s="198"/>
      <c r="G32" s="198"/>
      <c r="H32" s="198"/>
      <c r="I32" s="198"/>
      <c r="J32" s="198"/>
      <c r="K32" s="198"/>
      <c r="L32" s="199"/>
      <c r="M32" s="1231"/>
      <c r="N32" s="1231"/>
      <c r="O32" s="1231"/>
      <c r="P32" s="1231"/>
      <c r="Q32" s="1231"/>
      <c r="R32" s="1231"/>
    </row>
    <row r="33" spans="1:18" ht="8.15" customHeight="1" x14ac:dyDescent="0.35">
      <c r="A33" s="215"/>
      <c r="B33" s="199"/>
      <c r="C33" s="196"/>
      <c r="D33" s="196"/>
      <c r="E33" s="196"/>
      <c r="F33" s="196"/>
      <c r="G33" s="196"/>
      <c r="H33" s="196"/>
      <c r="I33" s="196"/>
      <c r="J33" s="196"/>
      <c r="K33" s="196"/>
      <c r="L33" s="199"/>
      <c r="M33" s="1231"/>
      <c r="N33" s="1231"/>
      <c r="O33" s="1231"/>
      <c r="P33" s="1231"/>
      <c r="Q33" s="1231"/>
      <c r="R33" s="1231"/>
    </row>
    <row r="34" spans="1:18" hidden="1" x14ac:dyDescent="0.35">
      <c r="A34" s="215"/>
      <c r="B34" s="199"/>
      <c r="C34" s="196"/>
      <c r="D34" s="196"/>
      <c r="E34" s="196"/>
      <c r="F34" s="205">
        <v>9</v>
      </c>
      <c r="G34" s="205">
        <v>2019</v>
      </c>
      <c r="H34" s="205" t="str">
        <f>IF(AND(FinMonth&gt;0,FinYear&gt;0),TEXT(FinMonth,"00")&amp;"/"&amp;TEXT(FinYear,"0000"),"")</f>
        <v>12/2019</v>
      </c>
      <c r="I34" s="205"/>
      <c r="J34" s="196"/>
      <c r="K34" s="196"/>
      <c r="L34" s="199"/>
      <c r="M34" s="1231"/>
      <c r="N34" s="1231"/>
      <c r="O34" s="1231"/>
      <c r="P34" s="1231"/>
      <c r="Q34" s="1231"/>
      <c r="R34" s="1231"/>
    </row>
    <row r="35" spans="1:18" hidden="1" x14ac:dyDescent="0.35">
      <c r="A35" s="215"/>
      <c r="B35" s="199"/>
      <c r="C35" s="196"/>
      <c r="D35" s="196"/>
      <c r="E35" s="196"/>
      <c r="F35" s="205">
        <v>1</v>
      </c>
      <c r="G35" s="206">
        <v>2020</v>
      </c>
      <c r="H35" s="207" t="str">
        <f>IF(AND(OperMonth&gt;0,OperYear&gt;0),TEXT(OperMonth,"00")&amp;"/"&amp;TEXT(OperYear,"0000"),"")</f>
        <v>01/2020</v>
      </c>
      <c r="I35" s="207"/>
      <c r="J35" s="196"/>
      <c r="K35" s="196"/>
      <c r="L35" s="199"/>
      <c r="M35" s="1231"/>
      <c r="N35" s="1231"/>
      <c r="O35" s="1231"/>
      <c r="P35" s="1231"/>
      <c r="Q35" s="1231"/>
      <c r="R35" s="1231"/>
    </row>
    <row r="36" spans="1:18" hidden="1" x14ac:dyDescent="0.35">
      <c r="A36" s="215"/>
      <c r="B36" s="199"/>
      <c r="C36" s="196"/>
      <c r="D36" s="196"/>
      <c r="E36" s="196"/>
      <c r="F36" s="206">
        <v>12</v>
      </c>
      <c r="G36" s="206">
        <v>2019</v>
      </c>
      <c r="H36" s="208"/>
      <c r="I36" s="208"/>
      <c r="J36" s="196"/>
      <c r="K36" s="196"/>
      <c r="L36" s="199"/>
      <c r="M36" s="1231"/>
      <c r="N36" s="1231"/>
      <c r="O36" s="1231"/>
      <c r="P36" s="1231"/>
      <c r="Q36" s="1231"/>
      <c r="R36" s="1231"/>
    </row>
    <row r="37" spans="1:18" hidden="1" x14ac:dyDescent="0.35">
      <c r="A37" s="215"/>
      <c r="B37" s="199"/>
      <c r="C37" s="196"/>
      <c r="D37" s="196"/>
      <c r="E37" s="196"/>
      <c r="F37" s="205">
        <v>12</v>
      </c>
      <c r="G37" s="205">
        <v>2024</v>
      </c>
      <c r="H37" s="196"/>
      <c r="I37" s="196"/>
      <c r="J37" s="196"/>
      <c r="K37" s="196"/>
      <c r="L37" s="199"/>
      <c r="M37" s="1231"/>
      <c r="N37" s="1231"/>
      <c r="O37" s="1231"/>
      <c r="P37" s="1231"/>
      <c r="Q37" s="1231"/>
      <c r="R37" s="1231"/>
    </row>
    <row r="38" spans="1:18" hidden="1" x14ac:dyDescent="0.35">
      <c r="A38" s="215"/>
      <c r="B38" s="199"/>
      <c r="C38" s="196"/>
      <c r="D38" s="196"/>
      <c r="E38" s="196"/>
      <c r="F38" s="196"/>
      <c r="G38" s="196"/>
      <c r="H38" s="196"/>
      <c r="I38" s="196"/>
      <c r="J38" s="196"/>
      <c r="K38" s="196"/>
      <c r="L38" s="199"/>
      <c r="M38" s="1231"/>
      <c r="N38" s="1231"/>
      <c r="O38" s="1231"/>
      <c r="P38" s="1231"/>
      <c r="Q38" s="1231"/>
      <c r="R38" s="1231"/>
    </row>
    <row r="39" spans="1:18" hidden="1" x14ac:dyDescent="0.35">
      <c r="A39" s="215"/>
      <c r="B39" s="199"/>
      <c r="C39" s="196"/>
      <c r="D39" s="196"/>
      <c r="E39" s="196"/>
      <c r="F39" s="196"/>
      <c r="G39" s="196"/>
      <c r="H39" s="196"/>
      <c r="I39" s="196"/>
      <c r="J39" s="196"/>
      <c r="K39" s="196"/>
      <c r="L39" s="199"/>
      <c r="M39" s="1231"/>
      <c r="N39" s="1231"/>
      <c r="O39" s="1231"/>
      <c r="P39" s="1231"/>
      <c r="Q39" s="1231"/>
      <c r="R39" s="1231"/>
    </row>
    <row r="40" spans="1:18" hidden="1" x14ac:dyDescent="0.35">
      <c r="A40" s="215"/>
      <c r="B40" s="199"/>
      <c r="C40" s="196"/>
      <c r="D40" s="196"/>
      <c r="E40" s="196"/>
      <c r="F40" s="196"/>
      <c r="G40" s="196"/>
      <c r="H40" s="196"/>
      <c r="I40" s="196"/>
      <c r="J40" s="196"/>
      <c r="K40" s="196"/>
      <c r="L40" s="199"/>
      <c r="M40" s="1231"/>
      <c r="N40" s="1231"/>
      <c r="O40" s="1231"/>
      <c r="P40" s="1231"/>
      <c r="Q40" s="1231"/>
      <c r="R40" s="1231"/>
    </row>
    <row r="41" spans="1:18" hidden="1" x14ac:dyDescent="0.35">
      <c r="A41" s="215"/>
      <c r="B41" s="199"/>
      <c r="C41" s="196"/>
      <c r="D41" s="196"/>
      <c r="E41" s="196"/>
      <c r="F41" s="196"/>
      <c r="G41" s="196"/>
      <c r="H41" s="196"/>
      <c r="I41" s="196"/>
      <c r="J41" s="196"/>
      <c r="K41" s="196"/>
      <c r="L41" s="199"/>
      <c r="M41" s="1231"/>
      <c r="N41" s="1231"/>
      <c r="O41" s="1231"/>
      <c r="P41" s="1231"/>
      <c r="Q41" s="1231"/>
      <c r="R41" s="1231"/>
    </row>
    <row r="42" spans="1:18" hidden="1" x14ac:dyDescent="0.35">
      <c r="A42" s="215"/>
      <c r="B42" s="199"/>
      <c r="C42" s="196"/>
      <c r="D42" s="196"/>
      <c r="E42" s="196"/>
      <c r="F42" s="196"/>
      <c r="G42" s="196"/>
      <c r="H42" s="196"/>
      <c r="I42" s="196"/>
      <c r="J42" s="196"/>
      <c r="K42" s="196"/>
      <c r="L42" s="199"/>
      <c r="M42" s="1231"/>
      <c r="N42" s="1231"/>
      <c r="O42" s="1231"/>
      <c r="P42" s="1231"/>
      <c r="Q42" s="1231"/>
      <c r="R42" s="1231"/>
    </row>
    <row r="43" spans="1:18" hidden="1" x14ac:dyDescent="0.35">
      <c r="A43" s="215"/>
      <c r="B43" s="199"/>
      <c r="C43" s="196"/>
      <c r="D43" s="196"/>
      <c r="E43" s="196"/>
      <c r="F43" s="196"/>
      <c r="G43" s="196"/>
      <c r="H43" s="196"/>
      <c r="I43" s="196"/>
      <c r="J43" s="196"/>
      <c r="K43" s="196"/>
      <c r="L43" s="199"/>
      <c r="M43" s="1231"/>
      <c r="N43" s="1231"/>
      <c r="O43" s="1231"/>
      <c r="P43" s="1231"/>
      <c r="Q43" s="1231"/>
      <c r="R43" s="1231"/>
    </row>
    <row r="44" spans="1:18" ht="5.15" customHeight="1" x14ac:dyDescent="0.35">
      <c r="A44" s="214" t="s">
        <v>29</v>
      </c>
      <c r="B44" s="199"/>
      <c r="C44" s="196"/>
      <c r="D44" s="196"/>
      <c r="E44" s="196"/>
      <c r="F44" s="196"/>
      <c r="G44" s="196"/>
      <c r="H44" s="196"/>
      <c r="I44" s="196"/>
      <c r="J44" s="196"/>
      <c r="K44" s="196"/>
      <c r="L44" s="199"/>
      <c r="M44" s="1231"/>
      <c r="N44" s="1231"/>
      <c r="O44" s="1231"/>
      <c r="P44" s="1231"/>
      <c r="Q44" s="1231"/>
      <c r="R44" s="1231"/>
    </row>
    <row r="45" spans="1:18" ht="15" customHeight="1" x14ac:dyDescent="0.35">
      <c r="A45" s="214" t="s">
        <v>29</v>
      </c>
      <c r="B45" s="199"/>
      <c r="C45" s="240" t="s">
        <v>30</v>
      </c>
      <c r="D45" s="241"/>
      <c r="E45" s="241"/>
      <c r="F45" s="241"/>
      <c r="G45" s="241"/>
      <c r="H45" s="241"/>
      <c r="I45" s="241"/>
      <c r="J45" s="241"/>
      <c r="K45" s="242"/>
      <c r="L45" s="199"/>
      <c r="M45" s="1231"/>
      <c r="N45" s="1231"/>
      <c r="O45" s="1231"/>
      <c r="P45" s="1231"/>
      <c r="Q45" s="1231"/>
      <c r="R45" s="1231"/>
    </row>
    <row r="46" spans="1:18" ht="9" customHeight="1" x14ac:dyDescent="0.35">
      <c r="A46" s="215"/>
      <c r="B46" s="199"/>
      <c r="C46" s="283"/>
      <c r="D46" s="284"/>
      <c r="E46" s="284"/>
      <c r="F46" s="284"/>
      <c r="G46" s="284"/>
      <c r="H46" s="284"/>
      <c r="I46" s="284"/>
      <c r="J46" s="284"/>
      <c r="K46" s="285"/>
      <c r="L46" s="199"/>
      <c r="M46" s="1231"/>
      <c r="N46" s="1231"/>
      <c r="O46" s="1231"/>
      <c r="P46" s="1231"/>
      <c r="Q46" s="1231"/>
      <c r="R46" s="1231"/>
    </row>
    <row r="47" spans="1:18" ht="12.75" customHeight="1" x14ac:dyDescent="0.35">
      <c r="A47" s="215"/>
      <c r="B47" s="199"/>
      <c r="C47" s="246" t="s">
        <v>4</v>
      </c>
      <c r="D47" s="247"/>
      <c r="E47" s="287" t="str">
        <f>IF(Investment&lt;&gt;0,Investment,"")</f>
        <v>Investment Project 1</v>
      </c>
      <c r="F47" s="238"/>
      <c r="G47" s="232"/>
      <c r="H47" s="232"/>
      <c r="I47" s="306"/>
      <c r="J47" s="307" t="str">
        <f>"Calculation term: "&amp;FIXED((InvTime+InvTimeMonths/12+InvTime2+InvTimeMonths2/12),1)&amp;" years"</f>
        <v>Calculation term: 5.3 years</v>
      </c>
      <c r="K47" s="288"/>
      <c r="L47" s="199"/>
      <c r="M47" s="1231"/>
      <c r="N47" s="1231"/>
      <c r="O47" s="1231"/>
      <c r="P47" s="1231"/>
      <c r="Q47" s="1231"/>
      <c r="R47" s="1231"/>
    </row>
    <row r="48" spans="1:18" ht="12.75" customHeight="1" x14ac:dyDescent="0.35">
      <c r="A48" s="215"/>
      <c r="B48" s="199"/>
      <c r="C48" s="246"/>
      <c r="D48" s="247"/>
      <c r="E48" s="239"/>
      <c r="F48" s="289"/>
      <c r="G48" s="232"/>
      <c r="H48" s="232"/>
      <c r="I48" s="308" t="str">
        <f>InvMonth&amp;"/"&amp;InvYear&amp;" -"</f>
        <v>9/2019 -</v>
      </c>
      <c r="J48" s="236" t="str">
        <f>LastMonth&amp;"/"&amp;LastYear</f>
        <v>12/2024</v>
      </c>
      <c r="K48" s="288"/>
      <c r="L48" s="199"/>
      <c r="M48" s="1231"/>
      <c r="N48" s="1231"/>
      <c r="O48" s="1231"/>
      <c r="P48" s="1231"/>
      <c r="Q48" s="1231"/>
      <c r="R48" s="1231"/>
    </row>
    <row r="49" spans="1:18" ht="12.75" customHeight="1" x14ac:dyDescent="0.35">
      <c r="A49" s="215"/>
      <c r="B49" s="199"/>
      <c r="C49" s="260"/>
      <c r="D49" s="229"/>
      <c r="E49" s="238"/>
      <c r="F49" s="238"/>
      <c r="G49" s="238"/>
      <c r="H49" s="238"/>
      <c r="I49" s="238"/>
      <c r="J49" s="238"/>
      <c r="K49" s="288"/>
      <c r="L49" s="199"/>
      <c r="M49" s="1231"/>
      <c r="N49" s="1231"/>
      <c r="O49" s="1231"/>
      <c r="P49" s="1231"/>
      <c r="Q49" s="1231"/>
      <c r="R49" s="1231"/>
    </row>
    <row r="50" spans="1:18" ht="12.75" customHeight="1" x14ac:dyDescent="0.35">
      <c r="A50" s="215"/>
      <c r="B50" s="199"/>
      <c r="C50" s="246" t="s">
        <v>31</v>
      </c>
      <c r="D50" s="247"/>
      <c r="E50" s="1400" t="s">
        <v>6227</v>
      </c>
      <c r="F50" s="1401"/>
      <c r="G50" s="1401"/>
      <c r="H50" s="1401"/>
      <c r="I50" s="1401"/>
      <c r="J50" s="1402"/>
      <c r="K50" s="288"/>
      <c r="L50" s="199"/>
      <c r="M50" s="1231"/>
      <c r="N50" s="1231"/>
      <c r="O50" s="1231"/>
      <c r="P50" s="1231"/>
      <c r="Q50" s="1231"/>
      <c r="R50" s="1231"/>
    </row>
    <row r="51" spans="1:18" ht="12.75" customHeight="1" x14ac:dyDescent="0.35">
      <c r="A51" s="215"/>
      <c r="B51" s="199"/>
      <c r="C51" s="246" t="s">
        <v>32</v>
      </c>
      <c r="D51" s="247"/>
      <c r="E51" s="1403" t="s">
        <v>6228</v>
      </c>
      <c r="F51" s="1392"/>
      <c r="G51" s="1392"/>
      <c r="H51" s="1392"/>
      <c r="I51" s="1392"/>
      <c r="J51" s="1393"/>
      <c r="K51" s="288"/>
      <c r="L51" s="199"/>
      <c r="M51" s="1231"/>
      <c r="N51" s="1231"/>
      <c r="O51" s="1231"/>
      <c r="P51" s="1231"/>
      <c r="Q51" s="1231"/>
      <c r="R51" s="1231"/>
    </row>
    <row r="52" spans="1:18" ht="12.75" customHeight="1" x14ac:dyDescent="0.35">
      <c r="A52" s="215"/>
      <c r="B52" s="199"/>
      <c r="C52" s="246"/>
      <c r="D52" s="247"/>
      <c r="E52" s="1394" t="s">
        <v>6229</v>
      </c>
      <c r="F52" s="1395"/>
      <c r="G52" s="1395"/>
      <c r="H52" s="1395"/>
      <c r="I52" s="1395"/>
      <c r="J52" s="1396"/>
      <c r="K52" s="288"/>
      <c r="L52" s="199"/>
      <c r="M52" s="1231"/>
      <c r="N52" s="1231"/>
      <c r="O52" s="1231"/>
      <c r="P52" s="1231"/>
      <c r="Q52" s="1231"/>
      <c r="R52" s="1231"/>
    </row>
    <row r="53" spans="1:18" ht="12.75" customHeight="1" x14ac:dyDescent="0.35">
      <c r="A53" s="215"/>
      <c r="B53" s="199"/>
      <c r="C53" s="246"/>
      <c r="D53" s="247"/>
      <c r="E53" s="1394" t="s">
        <v>6230</v>
      </c>
      <c r="F53" s="1395"/>
      <c r="G53" s="1395"/>
      <c r="H53" s="1395"/>
      <c r="I53" s="1395"/>
      <c r="J53" s="1396"/>
      <c r="K53" s="288"/>
      <c r="L53" s="199"/>
      <c r="M53" s="1231"/>
      <c r="N53" s="1231"/>
      <c r="O53" s="1231"/>
      <c r="P53" s="1231"/>
      <c r="Q53" s="1231"/>
      <c r="R53" s="1231"/>
    </row>
    <row r="54" spans="1:18" ht="12.75" customHeight="1" x14ac:dyDescent="0.35">
      <c r="A54" s="215"/>
      <c r="B54" s="199"/>
      <c r="C54" s="246"/>
      <c r="D54" s="247"/>
      <c r="E54" s="1394"/>
      <c r="F54" s="1395"/>
      <c r="G54" s="1395"/>
      <c r="H54" s="1395"/>
      <c r="I54" s="1395"/>
      <c r="J54" s="1396"/>
      <c r="K54" s="288"/>
      <c r="L54" s="199"/>
      <c r="M54" s="1231"/>
      <c r="N54" s="1231"/>
      <c r="O54" s="1231"/>
      <c r="P54" s="1231"/>
      <c r="Q54" s="1231"/>
      <c r="R54" s="1231"/>
    </row>
    <row r="55" spans="1:18" ht="12.75" customHeight="1" x14ac:dyDescent="0.35">
      <c r="A55" s="215"/>
      <c r="B55" s="199"/>
      <c r="C55" s="246"/>
      <c r="D55" s="247"/>
      <c r="E55" s="1404"/>
      <c r="F55" s="1405"/>
      <c r="G55" s="1405"/>
      <c r="H55" s="1405"/>
      <c r="I55" s="1405"/>
      <c r="J55" s="1406"/>
      <c r="K55" s="288"/>
      <c r="L55" s="199"/>
      <c r="M55" s="1231"/>
      <c r="N55" s="1231"/>
      <c r="O55" s="1231"/>
      <c r="P55" s="1231"/>
      <c r="Q55" s="1231"/>
      <c r="R55" s="1231"/>
    </row>
    <row r="56" spans="1:18" ht="12.75" customHeight="1" x14ac:dyDescent="0.35">
      <c r="A56" s="215"/>
      <c r="B56" s="199"/>
      <c r="C56" s="246" t="s">
        <v>33</v>
      </c>
      <c r="D56" s="247"/>
      <c r="E56" s="310"/>
      <c r="F56" s="286"/>
      <c r="G56" s="286"/>
      <c r="H56" s="286"/>
      <c r="I56" s="286"/>
      <c r="J56" s="286"/>
      <c r="K56" s="288"/>
      <c r="L56" s="199"/>
      <c r="M56" s="1231"/>
      <c r="N56" s="1231"/>
      <c r="O56" s="1231"/>
      <c r="P56" s="1231"/>
      <c r="Q56" s="1231"/>
      <c r="R56" s="1231"/>
    </row>
    <row r="57" spans="1:18" ht="9" customHeight="1" x14ac:dyDescent="0.35">
      <c r="A57" s="215"/>
      <c r="B57" s="199"/>
      <c r="C57" s="260"/>
      <c r="D57" s="229"/>
      <c r="E57" s="238"/>
      <c r="F57" s="290"/>
      <c r="G57" s="290"/>
      <c r="H57" s="286"/>
      <c r="I57" s="286"/>
      <c r="J57" s="286"/>
      <c r="K57" s="288"/>
      <c r="L57" s="199"/>
      <c r="M57" s="1231"/>
      <c r="N57" s="1231"/>
      <c r="O57" s="1231"/>
      <c r="P57" s="1231"/>
      <c r="Q57" s="1231"/>
      <c r="R57" s="1231"/>
    </row>
    <row r="58" spans="1:18" ht="12.75" customHeight="1" x14ac:dyDescent="0.35">
      <c r="A58" s="215"/>
      <c r="B58" s="199"/>
      <c r="C58" s="246" t="s">
        <v>34</v>
      </c>
      <c r="D58" s="247"/>
      <c r="E58" s="1391" t="s">
        <v>6231</v>
      </c>
      <c r="F58" s="1392"/>
      <c r="G58" s="1392"/>
      <c r="H58" s="1392"/>
      <c r="I58" s="1392"/>
      <c r="J58" s="1393"/>
      <c r="K58" s="288"/>
      <c r="L58" s="199"/>
      <c r="M58" s="1231"/>
      <c r="N58" s="1231"/>
      <c r="O58" s="1231"/>
      <c r="P58" s="1231"/>
      <c r="Q58" s="1231"/>
      <c r="R58" s="1231"/>
    </row>
    <row r="59" spans="1:18" ht="12.75" customHeight="1" x14ac:dyDescent="0.35">
      <c r="A59" s="215"/>
      <c r="B59" s="199"/>
      <c r="C59" s="262"/>
      <c r="D59" s="247"/>
      <c r="E59" s="1394" t="s">
        <v>6232</v>
      </c>
      <c r="F59" s="1395"/>
      <c r="G59" s="1395"/>
      <c r="H59" s="1395"/>
      <c r="I59" s="1395"/>
      <c r="J59" s="1396"/>
      <c r="K59" s="288"/>
      <c r="L59" s="199"/>
      <c r="M59" s="1231"/>
      <c r="N59" s="1231"/>
      <c r="O59" s="1231"/>
      <c r="P59" s="1231"/>
      <c r="Q59" s="1231"/>
      <c r="R59" s="1231"/>
    </row>
    <row r="60" spans="1:18" ht="12.75" customHeight="1" x14ac:dyDescent="0.35">
      <c r="A60" s="215"/>
      <c r="B60" s="199"/>
      <c r="C60" s="262"/>
      <c r="D60" s="247"/>
      <c r="E60" s="1394" t="s">
        <v>6392</v>
      </c>
      <c r="F60" s="1395"/>
      <c r="G60" s="1395"/>
      <c r="H60" s="1395"/>
      <c r="I60" s="1395"/>
      <c r="J60" s="1396"/>
      <c r="K60" s="288"/>
      <c r="L60" s="199"/>
      <c r="M60" s="1231"/>
      <c r="N60" s="1231"/>
      <c r="O60" s="1231"/>
      <c r="P60" s="1231"/>
      <c r="Q60" s="1231"/>
      <c r="R60" s="1231"/>
    </row>
    <row r="61" spans="1:18" ht="12.75" customHeight="1" x14ac:dyDescent="0.35">
      <c r="A61" s="215"/>
      <c r="B61" s="199"/>
      <c r="C61" s="262"/>
      <c r="D61" s="247"/>
      <c r="E61" s="1394"/>
      <c r="F61" s="1395"/>
      <c r="G61" s="1395"/>
      <c r="H61" s="1395"/>
      <c r="I61" s="1395"/>
      <c r="J61" s="1396"/>
      <c r="K61" s="288"/>
      <c r="L61" s="199"/>
      <c r="M61" s="1231"/>
      <c r="N61" s="1231"/>
      <c r="O61" s="1231"/>
      <c r="P61" s="1231"/>
      <c r="Q61" s="1231"/>
      <c r="R61" s="1231"/>
    </row>
    <row r="62" spans="1:18" ht="12.75" customHeight="1" x14ac:dyDescent="0.35">
      <c r="A62" s="215"/>
      <c r="B62" s="199"/>
      <c r="C62" s="262"/>
      <c r="D62" s="247"/>
      <c r="E62" s="1394"/>
      <c r="F62" s="1395"/>
      <c r="G62" s="1395"/>
      <c r="H62" s="1395"/>
      <c r="I62" s="1395"/>
      <c r="J62" s="1396"/>
      <c r="K62" s="288"/>
      <c r="L62" s="199"/>
      <c r="M62" s="1231"/>
      <c r="N62" s="1231"/>
      <c r="O62" s="1231"/>
      <c r="P62" s="1231"/>
      <c r="Q62" s="1231"/>
      <c r="R62" s="1231"/>
    </row>
    <row r="63" spans="1:18" ht="12.75" customHeight="1" x14ac:dyDescent="0.35">
      <c r="A63" s="215"/>
      <c r="B63" s="199"/>
      <c r="C63" s="262"/>
      <c r="D63" s="247"/>
      <c r="E63" s="1394"/>
      <c r="F63" s="1395"/>
      <c r="G63" s="1395"/>
      <c r="H63" s="1395"/>
      <c r="I63" s="1395"/>
      <c r="J63" s="1396"/>
      <c r="K63" s="288"/>
      <c r="L63" s="199"/>
      <c r="M63" s="1231"/>
      <c r="N63" s="1231"/>
      <c r="O63" s="1231"/>
      <c r="P63" s="1231"/>
      <c r="Q63" s="1231"/>
      <c r="R63" s="1231"/>
    </row>
    <row r="64" spans="1:18" ht="12.75" customHeight="1" x14ac:dyDescent="0.35">
      <c r="A64" s="215"/>
      <c r="B64" s="199"/>
      <c r="C64" s="262"/>
      <c r="D64" s="247"/>
      <c r="E64" s="1394"/>
      <c r="F64" s="1395"/>
      <c r="G64" s="1395"/>
      <c r="H64" s="1395"/>
      <c r="I64" s="1395"/>
      <c r="J64" s="1396"/>
      <c r="K64" s="288"/>
      <c r="L64" s="199"/>
      <c r="M64" s="1231"/>
      <c r="N64" s="1231"/>
      <c r="O64" s="1231"/>
      <c r="P64" s="1231"/>
      <c r="Q64" s="1231"/>
      <c r="R64" s="1231"/>
    </row>
    <row r="65" spans="1:18" ht="12.75" customHeight="1" x14ac:dyDescent="0.35">
      <c r="A65" s="215"/>
      <c r="B65" s="199"/>
      <c r="C65" s="262"/>
      <c r="D65" s="247"/>
      <c r="E65" s="1394"/>
      <c r="F65" s="1395"/>
      <c r="G65" s="1395"/>
      <c r="H65" s="1395"/>
      <c r="I65" s="1395"/>
      <c r="J65" s="1396"/>
      <c r="K65" s="288"/>
      <c r="L65" s="199"/>
      <c r="M65" s="1231"/>
      <c r="N65" s="1231"/>
      <c r="O65" s="1231"/>
      <c r="P65" s="1231"/>
      <c r="Q65" s="1231"/>
      <c r="R65" s="1231"/>
    </row>
    <row r="66" spans="1:18" ht="12.75" customHeight="1" x14ac:dyDescent="0.35">
      <c r="A66" s="215"/>
      <c r="B66" s="199"/>
      <c r="C66" s="262"/>
      <c r="D66" s="247"/>
      <c r="E66" s="1394"/>
      <c r="F66" s="1395"/>
      <c r="G66" s="1395"/>
      <c r="H66" s="1395"/>
      <c r="I66" s="1395"/>
      <c r="J66" s="1396"/>
      <c r="K66" s="288"/>
      <c r="L66" s="199"/>
      <c r="M66" s="1231"/>
      <c r="N66" s="1231"/>
      <c r="O66" s="1231"/>
      <c r="P66" s="1231"/>
      <c r="Q66" s="1231"/>
      <c r="R66" s="1231"/>
    </row>
    <row r="67" spans="1:18" ht="12.75" customHeight="1" x14ac:dyDescent="0.35">
      <c r="A67" s="215"/>
      <c r="B67" s="199"/>
      <c r="C67" s="262"/>
      <c r="D67" s="247"/>
      <c r="E67" s="1404"/>
      <c r="F67" s="1405"/>
      <c r="G67" s="1405"/>
      <c r="H67" s="1405"/>
      <c r="I67" s="1405"/>
      <c r="J67" s="1406"/>
      <c r="K67" s="288"/>
      <c r="L67" s="199"/>
      <c r="M67" s="1231"/>
      <c r="N67" s="1231"/>
      <c r="O67" s="1231"/>
      <c r="P67" s="1231"/>
      <c r="Q67" s="1231"/>
      <c r="R67" s="1231"/>
    </row>
    <row r="68" spans="1:18" ht="6" customHeight="1" x14ac:dyDescent="0.35">
      <c r="A68" s="215"/>
      <c r="B68" s="199"/>
      <c r="C68" s="260"/>
      <c r="D68" s="229"/>
      <c r="E68" s="291" t="str">
        <f ca="1">LEFT(SUBSTITUTE(CELL("filename",$A$1),"[",""),SEARCH("]",SUBSTITUTE(CELL("filename",$A$1),"[",""),1)-1)</f>
        <v>C:\Users\irinak\Desktop\New folder\Investment Project 1.xlsx</v>
      </c>
      <c r="F68" s="238"/>
      <c r="G68" s="238"/>
      <c r="H68" s="238"/>
      <c r="I68" s="238"/>
      <c r="J68" s="238"/>
      <c r="K68" s="288"/>
      <c r="L68" s="199"/>
      <c r="M68" s="1231"/>
      <c r="N68" s="1231"/>
      <c r="O68" s="1231"/>
      <c r="P68" s="1231"/>
      <c r="Q68" s="1231"/>
      <c r="R68" s="1231"/>
    </row>
    <row r="69" spans="1:18" ht="12.75" customHeight="1" x14ac:dyDescent="0.35">
      <c r="A69" s="215"/>
      <c r="B69" s="199"/>
      <c r="C69" s="260" t="s">
        <v>35</v>
      </c>
      <c r="D69" s="229"/>
      <c r="E69" s="1407" t="str">
        <f ca="1">IF(NOT(ISERROR(E68)),E68,"")</f>
        <v>C:\Users\irinak\Desktop\New folder\Investment Project 1.xlsx</v>
      </c>
      <c r="F69" s="1407"/>
      <c r="G69" s="1407"/>
      <c r="H69" s="1407"/>
      <c r="I69" s="1407"/>
      <c r="J69" s="1407"/>
      <c r="K69" s="288"/>
      <c r="L69" s="199"/>
      <c r="M69" s="1231"/>
      <c r="N69" s="1231"/>
      <c r="O69" s="1231"/>
      <c r="P69" s="1231"/>
      <c r="Q69" s="1231"/>
      <c r="R69" s="1231"/>
    </row>
    <row r="70" spans="1:18" ht="6" customHeight="1" x14ac:dyDescent="0.35">
      <c r="A70" s="215"/>
      <c r="B70" s="199"/>
      <c r="C70" s="311"/>
      <c r="D70" s="279"/>
      <c r="E70" s="292"/>
      <c r="F70" s="292"/>
      <c r="G70" s="292"/>
      <c r="H70" s="292"/>
      <c r="I70" s="292"/>
      <c r="J70" s="292"/>
      <c r="K70" s="293"/>
      <c r="L70" s="199"/>
      <c r="M70" s="1231"/>
      <c r="N70" s="1231"/>
      <c r="O70" s="1231"/>
      <c r="P70" s="1231"/>
      <c r="Q70" s="1231"/>
      <c r="R70" s="1231"/>
    </row>
    <row r="71" spans="1:18" ht="5.15" customHeight="1" x14ac:dyDescent="0.35">
      <c r="A71" s="215"/>
      <c r="B71" s="199"/>
      <c r="C71" s="199"/>
      <c r="D71" s="199"/>
      <c r="E71" s="199"/>
      <c r="F71" s="199"/>
      <c r="G71" s="199"/>
      <c r="H71" s="199"/>
      <c r="I71" s="199"/>
      <c r="J71" s="199"/>
      <c r="K71" s="199"/>
      <c r="L71" s="199"/>
      <c r="M71" s="1231"/>
      <c r="N71" s="1231"/>
      <c r="O71" s="1231"/>
      <c r="P71" s="1231"/>
      <c r="Q71" s="1231"/>
      <c r="R71" s="1231"/>
    </row>
  </sheetData>
  <sheetProtection algorithmName="SHA-512" hashValue="QF3Odam/aQfsFRJkv2Otus4XtM+oMuj4Ln5ml67kARYqpYga/RIXT39dPqyAGRBhKcRqBprz2tcwq1jgHCZ/Qw==" saltValue="IXRWcA8AhXBSYj6vvBu0bw==" spinCount="100000" sheet="1" objects="1" scenarios="1" formatCells="0"/>
  <mergeCells count="18">
    <mergeCell ref="E69:J69"/>
    <mergeCell ref="E67:J67"/>
    <mergeCell ref="F5:I5"/>
    <mergeCell ref="E50:J50"/>
    <mergeCell ref="E51:J51"/>
    <mergeCell ref="E54:J54"/>
    <mergeCell ref="E55:J55"/>
    <mergeCell ref="E52:J52"/>
    <mergeCell ref="E53:J53"/>
    <mergeCell ref="E58:J58"/>
    <mergeCell ref="E59:J59"/>
    <mergeCell ref="E60:J60"/>
    <mergeCell ref="E65:J65"/>
    <mergeCell ref="E66:J66"/>
    <mergeCell ref="E63:J63"/>
    <mergeCell ref="E64:J64"/>
    <mergeCell ref="E61:J61"/>
    <mergeCell ref="E62:J62"/>
  </mergeCells>
  <dataValidations count="1">
    <dataValidation type="list" allowBlank="1" showInputMessage="1" showErrorMessage="1" sqref="F20" xr:uid="{00000000-0002-0000-0000-000000000000}">
      <formula1>FiguresList</formula1>
    </dataValidation>
  </dataValidations>
  <printOptions horizontalCentered="1" verticalCentered="1"/>
  <pageMargins left="0.74803149606299213" right="0.74803149606299213" top="0.98425196850393704" bottom="0.98425196850393704" header="0.51181102362204722" footer="0.51181102362204722"/>
  <pageSetup paperSize="9" orientation="landscape" r:id="rId1"/>
  <headerFooter>
    <oddFooter>&amp;L&amp;8Invest for Excel&amp;C&amp;8&amp;F&amp;R&amp;8&amp;D: &amp;T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2"/>
  <dimension ref="A1:AA19"/>
  <sheetViews>
    <sheetView workbookViewId="0">
      <selection activeCell="S12" sqref="S12"/>
    </sheetView>
  </sheetViews>
  <sheetFormatPr defaultRowHeight="14.5" x14ac:dyDescent="0.35"/>
  <cols>
    <col min="4" max="10" width="9.81640625" bestFit="1" customWidth="1"/>
    <col min="13" max="14" width="9.54296875" bestFit="1" customWidth="1"/>
  </cols>
  <sheetData>
    <row r="1" spans="1:27" x14ac:dyDescent="0.35">
      <c r="A1" s="1382" t="s">
        <v>6246</v>
      </c>
      <c r="D1">
        <v>0.9</v>
      </c>
      <c r="E1">
        <v>1.2222222222222223</v>
      </c>
      <c r="F1">
        <v>0.81818181818181812</v>
      </c>
      <c r="H1">
        <v>1.2222222222222223</v>
      </c>
      <c r="I1">
        <v>1.0909090909090908</v>
      </c>
      <c r="J1">
        <v>1.0833333333333333</v>
      </c>
      <c r="L1" t="str">
        <f ca="1">PROPER(OFFSET(L1,0,Language))</f>
        <v>Change %</v>
      </c>
      <c r="M1" t="s">
        <v>6266</v>
      </c>
      <c r="N1" t="s">
        <v>6267</v>
      </c>
      <c r="O1" t="s">
        <v>6268</v>
      </c>
      <c r="P1" t="s">
        <v>6269</v>
      </c>
      <c r="Q1" t="s">
        <v>6270</v>
      </c>
      <c r="R1" t="s">
        <v>6271</v>
      </c>
      <c r="S1" t="s">
        <v>6272</v>
      </c>
      <c r="T1" t="s">
        <v>6273</v>
      </c>
    </row>
    <row r="2" spans="1:27" x14ac:dyDescent="0.35">
      <c r="L2">
        <f>ROW(Calculations!$E$318)</f>
        <v>318</v>
      </c>
    </row>
    <row r="5" spans="1:27" x14ac:dyDescent="0.35">
      <c r="A5" t="s">
        <v>6261</v>
      </c>
      <c r="B5" t="str">
        <f ca="1">""&amp;OFFSET($S5,0,Language)</f>
        <v>Spider</v>
      </c>
      <c r="D5">
        <v>2</v>
      </c>
      <c r="E5">
        <v>1</v>
      </c>
      <c r="F5" t="b">
        <v>1</v>
      </c>
      <c r="T5" t="s">
        <v>6277</v>
      </c>
      <c r="U5" t="s">
        <v>6286</v>
      </c>
      <c r="V5" t="s">
        <v>6287</v>
      </c>
      <c r="W5" t="s">
        <v>6288</v>
      </c>
      <c r="X5" t="s">
        <v>6289</v>
      </c>
      <c r="Y5" t="s">
        <v>6290</v>
      </c>
      <c r="Z5" t="s">
        <v>6291</v>
      </c>
      <c r="AA5" t="s">
        <v>6292</v>
      </c>
    </row>
    <row r="6" spans="1:27" x14ac:dyDescent="0.35">
      <c r="B6" t="str">
        <f ca="1">IF(C5&lt;=ROWS(AFactorList)-1,OFFSET(AFactorList,C5,0,1,1),OFFSET(RatiosDD,C5-ROWS(AFactorList),0,1,1))&amp;IF(ISERROR(FIND(TEXT(C5,"x00x"),"x00x05x08x")),"",", "&amp;IF(Figures&gt;1,Figures,"")&amp;" "&amp;Currency)&amp;IF(C5&gt;=ROWS(AFactorList)," ("&amp;OFFSET(Calculations!$G$16,0,AnalyzeData!E5)&amp;")","")&amp;IF(AND(A6=1,$L5=1),", "&amp;$L$1,"")</f>
        <v>Net Present Value (NPV),  Euro</v>
      </c>
      <c r="D6" s="1385">
        <v>-0.3</v>
      </c>
      <c r="E6" s="1385">
        <v>-0.2</v>
      </c>
      <c r="F6" s="1385">
        <v>-0.1</v>
      </c>
      <c r="G6" s="1385">
        <v>0</v>
      </c>
      <c r="H6" s="1385">
        <v>0.1</v>
      </c>
      <c r="I6" s="1385">
        <v>0.2</v>
      </c>
      <c r="J6" s="1385">
        <v>0.3</v>
      </c>
    </row>
    <row r="7" spans="1:27" x14ac:dyDescent="0.35">
      <c r="A7" t="s">
        <v>643</v>
      </c>
      <c r="B7">
        <f>ROW(Calculations!$E$318)</f>
        <v>318</v>
      </c>
      <c r="C7" t="str">
        <f ca="1">TRIM(IF(B7&gt;=$L$2,IF(CELL("Format",Calculations!$B$318)&lt;&gt;"H",IF(OR(ISERROR(FIND(LEFT(Calculations!$B$318,1),"+-*/")),Calculations!$B$318=""),Calculations!$B$318&amp;" ",RIGHT(Calculations!$B$318,LEN(Calculations!$B$318)-1)&amp;" "),""),IF(Calculations!$C$318="",Calculations!$B$318,""))&amp;Calculations!$C$318)</f>
        <v>Investments</v>
      </c>
      <c r="D7" s="1384">
        <v>12960261.367723214</v>
      </c>
      <c r="E7" s="1384">
        <v>12756402.996948654</v>
      </c>
      <c r="F7" s="1384">
        <v>12552544.626174092</v>
      </c>
      <c r="G7" s="1384">
        <v>12348686.255399536</v>
      </c>
      <c r="H7" s="1384">
        <v>12144827.884624975</v>
      </c>
      <c r="I7" s="1384">
        <v>11940969.513850415</v>
      </c>
      <c r="J7" s="1384">
        <v>11737111.143075857</v>
      </c>
    </row>
    <row r="8" spans="1:27" x14ac:dyDescent="0.35">
      <c r="A8" t="s">
        <v>6235</v>
      </c>
      <c r="B8">
        <f>ROW(Calculations!$E$446)</f>
        <v>446</v>
      </c>
      <c r="C8" t="str">
        <f ca="1">TRIM(IF(B8&gt;=$L$2,IF(CELL("Format",Calculations!$B$446)&lt;&gt;"H",IF(OR(ISERROR(FIND(LEFT(Calculations!$B$446,1),"+-*/")),Calculations!$B$446=""),Calculations!$B$446&amp;" ",RIGHT(Calculations!$B$446,LEN(Calculations!$B$446)-1)&amp;" "),""),IF(Calculations!$C$446="",Calculations!$B$446,""))&amp;Calculations!$C$446)</f>
        <v>Price / meter</v>
      </c>
      <c r="D8" s="1384">
        <v>5473243.4109256677</v>
      </c>
      <c r="E8" s="1384">
        <v>7776772.2677708659</v>
      </c>
      <c r="F8" s="1384">
        <v>10062729.261585202</v>
      </c>
      <c r="G8" s="1384">
        <v>12348686.255399536</v>
      </c>
      <c r="H8" s="1384">
        <v>14634643.24921388</v>
      </c>
      <c r="I8" s="1384">
        <v>16920600.243028209</v>
      </c>
      <c r="J8" s="1384">
        <v>19206557.236842543</v>
      </c>
    </row>
    <row r="9" spans="1:27" x14ac:dyDescent="0.35">
      <c r="A9" t="s">
        <v>824</v>
      </c>
      <c r="B9">
        <f>ROW(Calculations!$E$460)</f>
        <v>460</v>
      </c>
      <c r="C9" t="str">
        <f ca="1">TRIM(IF(B9&gt;=$L$2,IF(CELL("Format",Calculations!$B$460)&lt;&gt;"H",IF(OR(ISERROR(FIND(LEFT(Calculations!$B$460,1),"+-*/")),Calculations!$B$460=""),Calculations!$B$460&amp;" ",RIGHT(Calculations!$B$460,LEN(Calculations!$B$460)-1)&amp;" "),""),IF(Calculations!$C$460="",Calculations!$B$460,""))&amp;Calculations!$C$460)</f>
        <v>Raw materials and consumables</v>
      </c>
      <c r="D9" s="1384">
        <v>28576984.19261571</v>
      </c>
      <c r="E9" s="1384">
        <v>23167551.546876982</v>
      </c>
      <c r="F9" s="1384">
        <v>17758118.901138261</v>
      </c>
      <c r="G9" s="1384">
        <v>12348686.255399536</v>
      </c>
      <c r="H9" s="1384">
        <v>6939253.6096608099</v>
      </c>
      <c r="I9" s="1384">
        <v>1360133.2070968174</v>
      </c>
      <c r="J9" s="1384">
        <v>-4889568.8617221527</v>
      </c>
    </row>
    <row r="10" spans="1:27" x14ac:dyDescent="0.35">
      <c r="A10" t="s">
        <v>843</v>
      </c>
      <c r="B10">
        <f>ROW(Calculations!$E$478)</f>
        <v>478</v>
      </c>
      <c r="C10" t="str">
        <f ca="1">TRIM(IF(B10&gt;=$L$2,IF(CELL("Format",Calculations!$B$478)&lt;&gt;"H",IF(OR(ISERROR(FIND(LEFT(Calculations!$B$478,1),"+-*/")),Calculations!$B$478=""),Calculations!$B$478&amp;" ",RIGHT(Calculations!$B$478,LEN(Calculations!$B$478)-1)&amp;" "),""),IF(Calculations!$C$478="",Calculations!$B$478,""))&amp;Calculations!$C$478)</f>
        <v>Other fixed costs</v>
      </c>
      <c r="D10" s="1384">
        <v>14890376.247899009</v>
      </c>
      <c r="E10" s="1384">
        <v>14043146.250399185</v>
      </c>
      <c r="F10" s="1384">
        <v>13195916.25289936</v>
      </c>
      <c r="G10" s="1384">
        <v>12348686.255399536</v>
      </c>
      <c r="H10" s="1384">
        <v>11501456.257899713</v>
      </c>
      <c r="I10" s="1384">
        <v>10654226.260399889</v>
      </c>
      <c r="J10" s="1384">
        <v>9806996.2629000656</v>
      </c>
    </row>
    <row r="11" spans="1:27" x14ac:dyDescent="0.35">
      <c r="A11" t="s">
        <v>6265</v>
      </c>
      <c r="D11" s="1384"/>
      <c r="E11" s="1384"/>
      <c r="F11" s="1384"/>
      <c r="G11" s="1384"/>
      <c r="H11" s="1384"/>
      <c r="I11" s="1384"/>
      <c r="J11" s="1384"/>
    </row>
    <row r="12" spans="1:27" x14ac:dyDescent="0.35">
      <c r="D12" s="1384"/>
      <c r="E12" s="1384"/>
      <c r="F12" s="1384"/>
      <c r="G12" s="1384"/>
      <c r="H12" s="1384"/>
      <c r="I12" s="1384"/>
      <c r="J12" s="1384"/>
    </row>
    <row r="13" spans="1:27" x14ac:dyDescent="0.35">
      <c r="A13" t="s">
        <v>6274</v>
      </c>
      <c r="B13" t="str">
        <f ca="1">""&amp;OFFSET($S13,0,Language)</f>
        <v>Tornado</v>
      </c>
      <c r="D13">
        <v>2</v>
      </c>
      <c r="E13">
        <v>1</v>
      </c>
      <c r="F13" t="b">
        <v>1</v>
      </c>
      <c r="L13">
        <v>1</v>
      </c>
      <c r="T13" t="s">
        <v>6276</v>
      </c>
      <c r="U13" t="s">
        <v>6276</v>
      </c>
      <c r="V13" t="s">
        <v>6276</v>
      </c>
      <c r="W13" t="s">
        <v>6276</v>
      </c>
      <c r="X13" t="s">
        <v>6276</v>
      </c>
      <c r="Y13" t="s">
        <v>6276</v>
      </c>
      <c r="Z13" t="s">
        <v>6285</v>
      </c>
      <c r="AA13" t="s">
        <v>6285</v>
      </c>
    </row>
    <row r="14" spans="1:27" x14ac:dyDescent="0.35">
      <c r="A14">
        <v>1</v>
      </c>
      <c r="B14" t="str">
        <f ca="1">IF(C13&lt;=ROWS(AFactorList)-1,OFFSET(AFactorList,C13,0,1,1),OFFSET(RatiosDD,C13-ROWS(AFactorList),0,1,1))&amp;IF(ISERROR(FIND(TEXT(C13,"x00x"),"x00x05x08x")),"",", "&amp;IF(Figures&gt;1,Figures,"")&amp;" "&amp;Currency)&amp;IF(C13&gt;=ROWS(AFactorList)," ("&amp;OFFSET(Calculations!$G$16,0,AnalyzeData!E13)&amp;")","")&amp;IF(AND(A14=1,$L13=1),", "&amp;$L$1,"")</f>
        <v>Net Present Value (NPV),  Euro, Change %</v>
      </c>
      <c r="D14">
        <v>-0.1</v>
      </c>
      <c r="E14">
        <v>0.1</v>
      </c>
      <c r="F14">
        <v>-0.1</v>
      </c>
      <c r="G14">
        <v>0.1</v>
      </c>
      <c r="M14" s="1385">
        <f>$D14</f>
        <v>-0.1</v>
      </c>
      <c r="N14" s="1385">
        <f>$E14</f>
        <v>0.1</v>
      </c>
    </row>
    <row r="15" spans="1:27" x14ac:dyDescent="0.35">
      <c r="A15" t="s">
        <v>643</v>
      </c>
      <c r="B15">
        <f>ROW(Calculations!$E$318)</f>
        <v>318</v>
      </c>
      <c r="C15" t="str">
        <f ca="1">TRIM(IF(B15&gt;=$L$2,IF(CELL("Format",Calculations!$B$318)&lt;&gt;"H",IF(OR(ISERROR(FIND(LEFT(Calculations!$B$318,1),"+-*/")),Calculations!$B$318=""),Calculations!$B$318&amp;" ",RIGHT(Calculations!$B$318,LEN(Calculations!$B$318)-1)&amp;" "),""),IF(Calculations!$C$318="",Calculations!$B$318,""))&amp;Calculations!$C$318)</f>
        <v>Investments</v>
      </c>
      <c r="D15">
        <v>12552544.626174092</v>
      </c>
      <c r="E15">
        <v>12144827.884624975</v>
      </c>
      <c r="G15">
        <v>12348686.255399536</v>
      </c>
      <c r="L15" t="str">
        <f ca="1">$C15</f>
        <v>Investments</v>
      </c>
      <c r="M15" s="1384">
        <f>IF($L$13=2,$D15,$D15-$G15)</f>
        <v>203858.37077455595</v>
      </c>
      <c r="N15" s="1384">
        <f>IF($L$13=2,$E15,$E15-$G15)</f>
        <v>-203858.37077456154</v>
      </c>
    </row>
    <row r="16" spans="1:27" x14ac:dyDescent="0.35">
      <c r="A16" t="s">
        <v>843</v>
      </c>
      <c r="B16">
        <f>ROW(Calculations!$E$478)</f>
        <v>478</v>
      </c>
      <c r="C16" t="str">
        <f ca="1">TRIM(IF(B16&gt;=$L$2,IF(CELL("Format",Calculations!$B$478)&lt;&gt;"H",IF(OR(ISERROR(FIND(LEFT(Calculations!$B$478,1),"+-*/")),Calculations!$B$478=""),Calculations!$B$478&amp;" ",RIGHT(Calculations!$B$478,LEN(Calculations!$B$478)-1)&amp;" "),""),IF(Calculations!$C$478="",Calculations!$B$478,""))&amp;Calculations!$C$478)</f>
        <v>Other fixed costs</v>
      </c>
      <c r="D16">
        <v>13195916.25289936</v>
      </c>
      <c r="E16">
        <v>11501456.257899713</v>
      </c>
      <c r="G16">
        <v>12348686.255399536</v>
      </c>
      <c r="L16" t="str">
        <f ca="1">$C16</f>
        <v>Other fixed costs</v>
      </c>
      <c r="M16" s="1384">
        <f>IF($L$13=2,$D16,$D16-$G16)</f>
        <v>847229.99749982357</v>
      </c>
      <c r="N16" s="1384">
        <f>IF($L$13=2,$E16,$E16-$G16)</f>
        <v>-847229.99749982357</v>
      </c>
    </row>
    <row r="17" spans="1:14" x14ac:dyDescent="0.35">
      <c r="A17" t="s">
        <v>6235</v>
      </c>
      <c r="B17">
        <f>ROW(Calculations!$E$446)</f>
        <v>446</v>
      </c>
      <c r="C17" t="str">
        <f ca="1">TRIM(IF(B17&gt;=$L$2,IF(CELL("Format",Calculations!$B$446)&lt;&gt;"H",IF(OR(ISERROR(FIND(LEFT(Calculations!$B$446,1),"+-*/")),Calculations!$B$446=""),Calculations!$B$446&amp;" ",RIGHT(Calculations!$B$446,LEN(Calculations!$B$446)-1)&amp;" "),""),IF(Calculations!$C$446="",Calculations!$B$446,""))&amp;Calculations!$C$446)</f>
        <v>Price / meter</v>
      </c>
      <c r="D17">
        <v>10062729.261585202</v>
      </c>
      <c r="E17">
        <v>14634643.24921388</v>
      </c>
      <c r="G17">
        <v>12348686.255399536</v>
      </c>
      <c r="L17" t="str">
        <f ca="1">$C17</f>
        <v>Price / meter</v>
      </c>
      <c r="M17" s="1384">
        <f>IF($L$13=2,$D17,$D17-$G17)</f>
        <v>-2285956.9938143343</v>
      </c>
      <c r="N17" s="1384">
        <f>IF($L$13=2,$E17,$E17-$G17)</f>
        <v>2285956.9938143436</v>
      </c>
    </row>
    <row r="18" spans="1:14" x14ac:dyDescent="0.35">
      <c r="A18" t="s">
        <v>6236</v>
      </c>
      <c r="B18">
        <f>ROW(Calculations!$E$461)</f>
        <v>461</v>
      </c>
      <c r="C18" t="str">
        <f ca="1">TRIM(IF(B18&gt;=$L$2,IF(CELL("Format",Calculations!$B$461)&lt;&gt;"H",IF(OR(ISERROR(FIND(LEFT(Calculations!$B$461,1),"+-*/")),Calculations!$B$461=""),Calculations!$B$461&amp;" ",RIGHT(Calculations!$B$461,LEN(Calculations!$B$461)-1)&amp;" "),""),IF(Calculations!$C$461="",Calculations!$B$461,""))&amp;Calculations!$C$461)</f>
        <v>Other variable costs</v>
      </c>
      <c r="D18">
        <v>17758118.901138261</v>
      </c>
      <c r="E18">
        <v>6939253.6096608099</v>
      </c>
      <c r="G18">
        <v>12348686.255399536</v>
      </c>
      <c r="L18" t="str">
        <f ca="1">$C18</f>
        <v>Other variable costs</v>
      </c>
      <c r="M18" s="1384">
        <f>IF($L$13=2,$D18,$D18-$G18)</f>
        <v>5409432.6457387246</v>
      </c>
      <c r="N18" s="1384">
        <f>IF($L$13=2,$E18,$E18-$G18)</f>
        <v>-5409432.6457387265</v>
      </c>
    </row>
    <row r="19" spans="1:14" x14ac:dyDescent="0.35">
      <c r="A19" t="s">
        <v>6275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AW283"/>
  <sheetViews>
    <sheetView workbookViewId="0">
      <selection activeCell="B13" sqref="B13"/>
    </sheetView>
  </sheetViews>
  <sheetFormatPr defaultColWidth="9.1796875" defaultRowHeight="14.5" x14ac:dyDescent="0.35"/>
  <cols>
    <col min="1" max="3" width="12.7265625" style="97" customWidth="1"/>
    <col min="4" max="4" width="20.1796875" style="97" customWidth="1"/>
    <col min="5" max="5" width="13.54296875" style="97" customWidth="1"/>
    <col min="6" max="6" width="22.81640625" style="97" customWidth="1"/>
    <col min="7" max="7" width="14.7265625" style="97" customWidth="1"/>
    <col min="8" max="8" width="9.1796875" style="97"/>
    <col min="9" max="9" width="31.1796875" style="97" customWidth="1"/>
    <col min="10" max="10" width="16.54296875" style="97" customWidth="1"/>
    <col min="11" max="11" width="14.7265625" style="97" customWidth="1"/>
    <col min="12" max="12" width="15.7265625" style="97" customWidth="1"/>
    <col min="13" max="13" width="16.7265625" style="97" customWidth="1"/>
    <col min="14" max="14" width="14.7265625" style="97" customWidth="1"/>
    <col min="15" max="15" width="21.1796875" style="97" customWidth="1"/>
    <col min="16" max="16" width="14.81640625" style="97" customWidth="1"/>
    <col min="17" max="19" width="9.1796875" style="97"/>
    <col min="20" max="20" width="10.54296875" style="97" customWidth="1"/>
    <col min="21" max="21" width="9.26953125" style="97" customWidth="1"/>
    <col min="22" max="22" width="16.26953125" style="97" customWidth="1"/>
    <col min="23" max="24" width="9.1796875" style="97"/>
    <col min="25" max="25" width="11.7265625" style="97" customWidth="1"/>
    <col min="26" max="26" width="11.1796875" style="97" customWidth="1"/>
    <col min="27" max="27" width="9.1796875" style="97"/>
    <col min="28" max="28" width="11.7265625" style="97" customWidth="1"/>
    <col min="29" max="29" width="9.1796875" style="97"/>
    <col min="30" max="30" width="17.7265625" style="97" bestFit="1" customWidth="1"/>
    <col min="31" max="31" width="15.7265625" style="97" bestFit="1" customWidth="1"/>
    <col min="32" max="16384" width="9.1796875" style="97"/>
  </cols>
  <sheetData>
    <row r="1" spans="1:49" ht="12.75" customHeight="1" x14ac:dyDescent="0.35">
      <c r="A1" s="17" t="s">
        <v>0</v>
      </c>
      <c r="B1" s="18" t="s">
        <v>2179</v>
      </c>
      <c r="C1" s="19">
        <f>COLUMN(ColHeaders)-1</f>
        <v>6</v>
      </c>
      <c r="D1" s="17" t="s">
        <v>2180</v>
      </c>
      <c r="E1" s="17"/>
      <c r="F1" s="20" t="s">
        <v>2181</v>
      </c>
      <c r="G1" s="21"/>
      <c r="H1" s="17"/>
      <c r="I1" s="22" t="s">
        <v>2182</v>
      </c>
      <c r="J1" s="23" t="s">
        <v>2183</v>
      </c>
      <c r="K1" s="17" t="s">
        <v>2184</v>
      </c>
      <c r="L1" s="134" t="s">
        <v>5118</v>
      </c>
      <c r="M1" s="135" t="s">
        <v>5119</v>
      </c>
      <c r="N1" s="136" t="s">
        <v>5120</v>
      </c>
      <c r="O1"/>
      <c r="P1" s="24" t="s">
        <v>2185</v>
      </c>
      <c r="Q1" s="17"/>
      <c r="R1" s="25" t="s">
        <v>2186</v>
      </c>
      <c r="S1" s="17"/>
      <c r="T1" s="26" t="s">
        <v>2187</v>
      </c>
      <c r="U1" s="27" t="s">
        <v>2188</v>
      </c>
      <c r="V1" s="21" t="s">
        <v>2189</v>
      </c>
      <c r="W1" s="17"/>
      <c r="X1" s="18" t="s">
        <v>5532</v>
      </c>
      <c r="Y1" s="17"/>
      <c r="Z1" s="17"/>
      <c r="AA1" s="17"/>
      <c r="AB1" s="17"/>
      <c r="AC1" s="17"/>
      <c r="AD1" s="190" t="s">
        <v>5394</v>
      </c>
      <c r="AE1" s="190" t="s">
        <v>5377</v>
      </c>
      <c r="AF1" s="180" t="s">
        <v>5311</v>
      </c>
      <c r="AG1" s="184" t="s">
        <v>5312</v>
      </c>
      <c r="AH1" s="185" t="s">
        <v>5313</v>
      </c>
      <c r="AI1" s="185" t="s">
        <v>5314</v>
      </c>
      <c r="AJ1" s="185" t="s">
        <v>5315</v>
      </c>
      <c r="AK1" s="185" t="s">
        <v>5316</v>
      </c>
      <c r="AL1" s="180" t="s">
        <v>5310</v>
      </c>
      <c r="AM1" s="181" t="s">
        <v>5305</v>
      </c>
      <c r="AN1" s="181" t="s">
        <v>5306</v>
      </c>
      <c r="AO1" s="181" t="s">
        <v>5307</v>
      </c>
      <c r="AP1" s="181" t="s">
        <v>5308</v>
      </c>
      <c r="AQ1" s="181" t="s">
        <v>5309</v>
      </c>
      <c r="AR1" s="180" t="s">
        <v>5317</v>
      </c>
      <c r="AS1" s="184" t="s">
        <v>5318</v>
      </c>
      <c r="AT1" s="185" t="s">
        <v>5319</v>
      </c>
      <c r="AU1" s="185" t="s">
        <v>5320</v>
      </c>
      <c r="AV1" s="185" t="s">
        <v>5321</v>
      </c>
      <c r="AW1" s="183" t="s">
        <v>5322</v>
      </c>
    </row>
    <row r="2" spans="1:49" ht="12.75" customHeight="1" x14ac:dyDescent="0.35">
      <c r="A2" s="28" t="s">
        <v>2190</v>
      </c>
      <c r="B2" s="210">
        <f>Version</f>
        <v>380</v>
      </c>
      <c r="C2" s="19">
        <f>MATCH(FinMonth&amp;"/"&amp;InvYear+4,ColHeaders,0)</f>
        <v>9</v>
      </c>
      <c r="D2" s="29" t="s">
        <v>2191</v>
      </c>
      <c r="E2" s="30"/>
      <c r="F2" s="136" t="s">
        <v>5150</v>
      </c>
      <c r="G2" s="149"/>
      <c r="H2" s="17"/>
      <c r="I2" s="21">
        <v>1</v>
      </c>
      <c r="J2" s="31" t="str">
        <f ca="1">SpecsTxt!B12</f>
        <v>Straight line</v>
      </c>
      <c r="K2" s="32" t="str">
        <f ca="1">SpecsTxt!$I$12</f>
        <v>N GAAP</v>
      </c>
      <c r="L2" s="17"/>
      <c r="M2" s="137" t="b">
        <f>FALSE()</f>
        <v>0</v>
      </c>
      <c r="N2" s="138">
        <v>1</v>
      </c>
      <c r="O2" s="152"/>
      <c r="P2" s="17"/>
      <c r="Q2" s="17"/>
      <c r="R2" s="33" t="s">
        <v>46</v>
      </c>
      <c r="S2" s="17"/>
      <c r="T2" s="34"/>
      <c r="U2" s="34"/>
      <c r="V2" s="35"/>
      <c r="W2" s="17"/>
      <c r="X2" s="1216"/>
      <c r="Y2" s="17"/>
      <c r="Z2" s="17"/>
      <c r="AA2" s="17"/>
      <c r="AB2" s="17"/>
      <c r="AC2" s="17"/>
      <c r="AD2" s="191" t="s">
        <v>5380</v>
      </c>
      <c r="AE2" s="191" t="s">
        <v>947</v>
      </c>
      <c r="AF2" s="167" t="s">
        <v>818</v>
      </c>
      <c r="AG2" s="182"/>
      <c r="AH2" s="182"/>
      <c r="AI2" s="182"/>
      <c r="AJ2" s="182"/>
      <c r="AK2" s="182"/>
      <c r="AL2" s="167" t="s">
        <v>824</v>
      </c>
      <c r="AM2" s="182"/>
      <c r="AN2" s="182"/>
      <c r="AO2" s="182"/>
      <c r="AP2" s="182"/>
      <c r="AQ2" s="182"/>
      <c r="AR2" s="186" t="s">
        <v>824</v>
      </c>
      <c r="AS2" s="182"/>
      <c r="AT2" s="182"/>
      <c r="AU2" s="182"/>
      <c r="AV2" s="182"/>
      <c r="AW2" s="182"/>
    </row>
    <row r="3" spans="1:49" ht="13.5" customHeight="1" x14ac:dyDescent="0.35">
      <c r="A3" s="28" t="s">
        <v>2193</v>
      </c>
      <c r="B3" s="211" t="s">
        <v>5706</v>
      </c>
      <c r="C3" s="19">
        <f>MATCH(FinMonth&amp;"/"&amp;InvYear+3,ColHeaders,0)</f>
        <v>8</v>
      </c>
      <c r="D3" s="36" t="s">
        <v>2194</v>
      </c>
      <c r="E3" s="37"/>
      <c r="F3" s="135" t="s">
        <v>2192</v>
      </c>
      <c r="G3" s="157">
        <v>0</v>
      </c>
      <c r="H3" s="17"/>
      <c r="I3" s="38" t="s">
        <v>2197</v>
      </c>
      <c r="J3" s="39" t="str">
        <f ca="1">SpecsTxt!C12</f>
        <v>Declining bal.</v>
      </c>
      <c r="K3" s="40" t="str">
        <f ca="1">SpecsTxt!$H$12</f>
        <v>IFRS 3</v>
      </c>
      <c r="L3" s="17"/>
      <c r="M3" s="139" t="s">
        <v>5121</v>
      </c>
      <c r="N3" s="140">
        <v>2</v>
      </c>
      <c r="O3" s="153"/>
      <c r="P3" s="17"/>
      <c r="Q3" s="17"/>
      <c r="R3" s="21" t="s">
        <v>2198</v>
      </c>
      <c r="S3" s="17"/>
      <c r="T3" s="34"/>
      <c r="U3" s="34"/>
      <c r="V3" s="41"/>
      <c r="W3" s="17"/>
      <c r="X3" s="18" t="s">
        <v>5533</v>
      </c>
      <c r="Y3" s="17"/>
      <c r="Z3" s="17"/>
      <c r="AA3" s="17"/>
      <c r="AB3" s="17"/>
      <c r="AC3" s="17"/>
      <c r="AD3" s="179" t="s">
        <v>5380</v>
      </c>
      <c r="AE3" s="179" t="s">
        <v>950</v>
      </c>
      <c r="AF3" s="17"/>
      <c r="AR3" s="178" t="s">
        <v>826</v>
      </c>
    </row>
    <row r="4" spans="1:49" ht="12.75" customHeight="1" thickBot="1" x14ac:dyDescent="0.4">
      <c r="A4" s="28" t="s">
        <v>2199</v>
      </c>
      <c r="B4" s="42">
        <f>Language</f>
        <v>1</v>
      </c>
      <c r="C4" s="19">
        <f>MATCH(FinMonth&amp;"/"&amp;InvYear+2,ColHeaders,0)</f>
        <v>7</v>
      </c>
      <c r="D4" s="43" t="s">
        <v>2200</v>
      </c>
      <c r="E4" s="44"/>
      <c r="F4" s="17" t="s">
        <v>2195</v>
      </c>
      <c r="G4" s="17" t="s">
        <v>2196</v>
      </c>
      <c r="H4" s="17"/>
      <c r="I4" s="21">
        <v>1</v>
      </c>
      <c r="J4" s="22" t="str">
        <f ca="1">SpecsTxt!D12</f>
        <v>Enter</v>
      </c>
      <c r="K4" s="17" t="s">
        <v>2201</v>
      </c>
      <c r="L4" s="17"/>
      <c r="M4" s="137" t="b">
        <f>TRUE()</f>
        <v>1</v>
      </c>
      <c r="N4" s="140">
        <v>3</v>
      </c>
      <c r="O4" s="153"/>
      <c r="P4" s="17"/>
      <c r="Q4" s="17"/>
      <c r="R4" s="47">
        <v>1</v>
      </c>
      <c r="S4" s="17"/>
      <c r="T4" s="34"/>
      <c r="U4" s="34"/>
      <c r="V4" s="41"/>
      <c r="W4" s="17"/>
      <c r="X4" s="17"/>
      <c r="Y4" s="17"/>
      <c r="Z4" s="17"/>
      <c r="AA4" s="17"/>
      <c r="AB4" s="17"/>
      <c r="AC4" s="17"/>
      <c r="AD4" s="179" t="s">
        <v>5381</v>
      </c>
      <c r="AE4" s="179" t="s">
        <v>5273</v>
      </c>
      <c r="AF4" s="17"/>
    </row>
    <row r="5" spans="1:49" ht="12.75" customHeight="1" x14ac:dyDescent="0.35">
      <c r="A5" s="17" t="s">
        <v>2202</v>
      </c>
      <c r="B5" s="48">
        <v>0</v>
      </c>
      <c r="C5" s="19">
        <f>MATCH(FinMonth&amp;"/"&amp;InvYear+1,ColHeaders,0)</f>
        <v>6</v>
      </c>
      <c r="D5" s="29" t="s">
        <v>2203</v>
      </c>
      <c r="E5" s="30"/>
      <c r="F5" s="45">
        <v>1</v>
      </c>
      <c r="G5" s="46">
        <v>4</v>
      </c>
      <c r="H5" s="17"/>
      <c r="I5" s="38" t="s">
        <v>2204</v>
      </c>
      <c r="J5" s="17"/>
      <c r="K5" s="21">
        <v>2</v>
      </c>
      <c r="L5" s="17"/>
      <c r="M5" s="150" t="s">
        <v>5151</v>
      </c>
      <c r="N5" s="140">
        <v>4</v>
      </c>
      <c r="O5" s="153"/>
      <c r="P5" s="17"/>
      <c r="Q5" s="17"/>
      <c r="R5" s="21" t="s">
        <v>2205</v>
      </c>
      <c r="S5" s="17"/>
      <c r="T5" s="34"/>
      <c r="U5" s="34"/>
      <c r="V5" s="41"/>
      <c r="W5" s="17"/>
      <c r="X5" s="17"/>
      <c r="Y5" s="17"/>
      <c r="Z5" s="17"/>
      <c r="AA5" s="17"/>
      <c r="AB5" s="17"/>
      <c r="AC5" s="17"/>
      <c r="AD5" s="179" t="s">
        <v>5381</v>
      </c>
      <c r="AE5" s="179" t="s">
        <v>5281</v>
      </c>
      <c r="AF5" s="17"/>
    </row>
    <row r="6" spans="1:49" ht="12.75" customHeight="1" x14ac:dyDescent="0.35">
      <c r="A6" s="17" t="s">
        <v>2206</v>
      </c>
      <c r="B6" s="17"/>
      <c r="C6" s="19">
        <f>MATCH(FinMonth&amp;"/"&amp;InvYear,ColHeaders,0)</f>
        <v>5</v>
      </c>
      <c r="D6" s="43" t="s">
        <v>2207</v>
      </c>
      <c r="E6" s="50"/>
      <c r="F6" s="49">
        <v>2</v>
      </c>
      <c r="G6" s="46">
        <v>4</v>
      </c>
      <c r="H6" s="17"/>
      <c r="I6" s="21">
        <v>1</v>
      </c>
      <c r="K6" s="17" t="s">
        <v>2208</v>
      </c>
      <c r="L6" s="17"/>
      <c r="M6" s="151"/>
      <c r="N6" s="140">
        <v>5</v>
      </c>
      <c r="O6" s="153"/>
      <c r="P6" s="17"/>
      <c r="Q6" s="17"/>
      <c r="R6" s="21">
        <v>0</v>
      </c>
      <c r="S6" s="17"/>
      <c r="T6" s="34"/>
      <c r="U6" s="34"/>
      <c r="V6" s="41"/>
      <c r="W6" s="17"/>
      <c r="X6" s="17"/>
      <c r="Y6" s="17"/>
      <c r="Z6" s="17"/>
      <c r="AA6" s="17"/>
      <c r="AB6" s="17"/>
      <c r="AC6" s="17"/>
      <c r="AD6" s="179" t="s">
        <v>5382</v>
      </c>
      <c r="AE6" s="179" t="s">
        <v>5274</v>
      </c>
      <c r="AF6" s="17"/>
    </row>
    <row r="7" spans="1:49" ht="12.75" customHeight="1" x14ac:dyDescent="0.35">
      <c r="A7" s="17" t="s">
        <v>2209</v>
      </c>
      <c r="B7" s="17"/>
      <c r="C7" s="51">
        <f>IF(ISNA(MATCH(FinYearR,ColHeadersR,0)),IF(ISNA(C2),IF(ISNA(C3),IF(ISNA(C4),IF(ISNA(C5),C6,C5),C4),C3),C2),MATCH(FinYearR,ColHeadersR,0))+C1</f>
        <v>12</v>
      </c>
      <c r="D7" s="17" t="s">
        <v>2210</v>
      </c>
      <c r="E7" s="17"/>
      <c r="F7" s="49">
        <v>3</v>
      </c>
      <c r="G7" s="46">
        <v>3</v>
      </c>
      <c r="H7" s="17"/>
      <c r="I7" s="17"/>
      <c r="K7" s="21" t="b">
        <f>TRUE()</f>
        <v>1</v>
      </c>
      <c r="L7" s="17"/>
      <c r="M7" s="155" t="s">
        <v>5152</v>
      </c>
      <c r="N7" s="140">
        <v>6</v>
      </c>
      <c r="O7" s="153"/>
      <c r="P7" s="17"/>
      <c r="Q7" s="17"/>
      <c r="R7" s="17" t="s">
        <v>2211</v>
      </c>
      <c r="S7" s="17"/>
      <c r="T7" s="34"/>
      <c r="U7" s="34"/>
      <c r="V7" s="41"/>
      <c r="W7" s="17"/>
      <c r="X7" s="17"/>
      <c r="Y7" s="17"/>
      <c r="Z7" s="17"/>
      <c r="AA7" s="17"/>
      <c r="AB7" s="17"/>
      <c r="AC7" s="17"/>
      <c r="AD7" s="179" t="s">
        <v>5382</v>
      </c>
      <c r="AE7" s="179" t="s">
        <v>5282</v>
      </c>
      <c r="AF7" s="17"/>
    </row>
    <row r="8" spans="1:49" ht="12.75" customHeight="1" x14ac:dyDescent="0.35">
      <c r="A8" s="17" t="s">
        <v>2212</v>
      </c>
      <c r="B8" s="21">
        <v>1</v>
      </c>
      <c r="C8" s="52" t="str">
        <f ca="1">OFFSET(Calculations!$A$1,10,YearCol-1)</f>
        <v>12/2020</v>
      </c>
      <c r="D8" s="29" t="s">
        <v>2213</v>
      </c>
      <c r="E8" s="117"/>
      <c r="F8" s="122">
        <v>4</v>
      </c>
      <c r="G8" s="46">
        <v>3</v>
      </c>
      <c r="H8" s="17"/>
      <c r="I8" s="53" t="s">
        <v>2214</v>
      </c>
      <c r="K8" s="223" t="s">
        <v>2215</v>
      </c>
      <c r="L8" s="17"/>
      <c r="M8" s="155" t="s">
        <v>5153</v>
      </c>
      <c r="N8" s="140">
        <v>7</v>
      </c>
      <c r="O8" s="153"/>
      <c r="P8" s="17"/>
      <c r="Q8" s="17"/>
      <c r="R8" s="21">
        <v>36</v>
      </c>
      <c r="S8" s="17"/>
      <c r="T8" s="34"/>
      <c r="U8" s="34"/>
      <c r="V8" s="41"/>
      <c r="W8" s="17"/>
      <c r="X8" s="17"/>
      <c r="Y8" s="17"/>
      <c r="Z8" s="17"/>
      <c r="AA8" s="17"/>
      <c r="AB8" s="17"/>
      <c r="AC8" s="17"/>
      <c r="AD8" s="179" t="s">
        <v>5379</v>
      </c>
      <c r="AE8" s="179" t="s">
        <v>5275</v>
      </c>
      <c r="AF8" s="17"/>
    </row>
    <row r="9" spans="1:49" ht="13.5" customHeight="1" thickBot="1" x14ac:dyDescent="0.4">
      <c r="A9"/>
      <c r="B9"/>
      <c r="C9" s="54" t="s">
        <v>2216</v>
      </c>
      <c r="D9" s="36" t="s">
        <v>2217</v>
      </c>
      <c r="E9" s="37"/>
      <c r="F9" s="122">
        <v>5</v>
      </c>
      <c r="G9" s="46">
        <v>3</v>
      </c>
      <c r="H9" s="17"/>
      <c r="I9" s="55" t="b">
        <f>TRUE()</f>
        <v>1</v>
      </c>
      <c r="K9" s="222">
        <v>9</v>
      </c>
      <c r="L9" s="17" t="s">
        <v>6235</v>
      </c>
      <c r="M9" s="150" t="s">
        <v>5154</v>
      </c>
      <c r="N9" s="140">
        <v>8</v>
      </c>
      <c r="O9" s="153"/>
      <c r="P9" s="17"/>
      <c r="Q9" s="17"/>
      <c r="R9" s="17"/>
      <c r="S9" s="17"/>
      <c r="T9" s="34"/>
      <c r="U9" s="34"/>
      <c r="V9" s="41"/>
      <c r="W9" s="17"/>
      <c r="X9" s="17"/>
      <c r="Y9" s="17"/>
      <c r="Z9" s="17"/>
      <c r="AA9" s="17"/>
      <c r="AB9" s="17"/>
      <c r="AC9" s="17"/>
      <c r="AD9" s="179" t="s">
        <v>5379</v>
      </c>
      <c r="AE9" s="179" t="s">
        <v>5283</v>
      </c>
      <c r="AF9" s="17"/>
    </row>
    <row r="10" spans="1:49" ht="12.75" customHeight="1" thickBot="1" x14ac:dyDescent="0.4">
      <c r="A10" s="1244" t="s">
        <v>5600</v>
      </c>
      <c r="B10" s="1243" t="b">
        <v>0</v>
      </c>
      <c r="C10" s="17"/>
      <c r="D10" s="36" t="s">
        <v>2219</v>
      </c>
      <c r="E10" s="37"/>
      <c r="F10" s="123" t="s">
        <v>2218</v>
      </c>
      <c r="G10" s="46">
        <v>3</v>
      </c>
      <c r="H10" s="17"/>
      <c r="I10" s="17" t="s">
        <v>2221</v>
      </c>
      <c r="K10" s="165" t="s">
        <v>2216</v>
      </c>
      <c r="L10" s="17"/>
      <c r="M10" s="17"/>
      <c r="N10" s="140">
        <v>9</v>
      </c>
      <c r="O10" s="153"/>
      <c r="P10" s="17"/>
      <c r="Q10" s="17"/>
      <c r="R10" s="17"/>
      <c r="S10" s="17"/>
      <c r="T10" s="34"/>
      <c r="U10" s="34"/>
      <c r="V10" s="41"/>
      <c r="W10" s="17"/>
      <c r="X10" s="17"/>
      <c r="Y10" s="17"/>
      <c r="Z10" s="17"/>
      <c r="AA10" s="17"/>
      <c r="AB10" s="17"/>
      <c r="AC10" s="17"/>
      <c r="AD10" s="179" t="s">
        <v>5383</v>
      </c>
      <c r="AE10" s="179" t="s">
        <v>5276</v>
      </c>
      <c r="AF10" s="17"/>
    </row>
    <row r="11" spans="1:49" ht="12.75" customHeight="1" x14ac:dyDescent="0.35">
      <c r="A11"/>
      <c r="B11"/>
      <c r="C11" s="17"/>
      <c r="D11" s="36" t="s">
        <v>2222</v>
      </c>
      <c r="E11" s="37"/>
      <c r="F11" s="17" t="s">
        <v>2220</v>
      </c>
      <c r="G11" s="21">
        <v>1</v>
      </c>
      <c r="H11" s="17"/>
      <c r="I11" s="55">
        <v>0</v>
      </c>
      <c r="J11" s="224" t="s">
        <v>5456</v>
      </c>
      <c r="K11" s="173">
        <v>1</v>
      </c>
      <c r="L11"/>
      <c r="M11" s="17"/>
      <c r="N11" s="140">
        <v>10</v>
      </c>
      <c r="O11" s="153"/>
      <c r="P11" s="17"/>
      <c r="Q11" s="17"/>
      <c r="R11" s="17"/>
      <c r="S11" s="17"/>
      <c r="T11" s="34"/>
      <c r="U11" s="34"/>
      <c r="V11" s="47"/>
      <c r="W11" s="17"/>
      <c r="X11" s="17"/>
      <c r="Y11" s="17"/>
      <c r="Z11" s="17"/>
      <c r="AA11" s="17"/>
      <c r="AB11" s="17"/>
      <c r="AC11" s="17"/>
      <c r="AD11" s="178" t="s">
        <v>5383</v>
      </c>
      <c r="AE11" s="178" t="s">
        <v>5284</v>
      </c>
      <c r="AF11" s="17"/>
    </row>
    <row r="12" spans="1:49" ht="13.5" customHeight="1" thickBot="1" x14ac:dyDescent="0.4">
      <c r="A12"/>
      <c r="B12"/>
      <c r="C12" s="17"/>
      <c r="D12" s="36" t="s">
        <v>2223</v>
      </c>
      <c r="E12" s="93"/>
      <c r="F12" s="17"/>
      <c r="G12" s="17" t="s">
        <v>2224</v>
      </c>
      <c r="H12" s="17"/>
      <c r="I12" s="17" t="s">
        <v>2225</v>
      </c>
      <c r="J12" s="167" t="b">
        <f>TRUE()</f>
        <v>1</v>
      </c>
      <c r="K12" s="165" t="s">
        <v>5221</v>
      </c>
      <c r="L12"/>
      <c r="M12" s="17"/>
      <c r="N12" s="140">
        <v>11</v>
      </c>
      <c r="O12" s="153"/>
      <c r="P12" s="17"/>
      <c r="Q12" s="17"/>
      <c r="R12" s="17"/>
      <c r="S12" s="17"/>
      <c r="T12" s="34"/>
      <c r="U12" s="34"/>
      <c r="V12" s="17"/>
      <c r="W12" s="17"/>
      <c r="X12" s="56">
        <f ca="1">SUM(Calculations!$G$17:OFFSET(Calculations!$G$17,0,MAX(1,X13-1)))</f>
        <v>4</v>
      </c>
      <c r="Y12" s="17"/>
      <c r="Z12" s="17"/>
      <c r="AA12" s="17"/>
      <c r="AB12" s="17"/>
      <c r="AC12" s="17"/>
      <c r="AD12" s="191" t="s">
        <v>5384</v>
      </c>
      <c r="AE12" s="192" t="s">
        <v>5372</v>
      </c>
      <c r="AF12" s="17"/>
    </row>
    <row r="13" spans="1:49" ht="12.75" customHeight="1" x14ac:dyDescent="0.35">
      <c r="A13"/>
      <c r="B13"/>
      <c r="C13" s="28"/>
      <c r="D13" s="36" t="s">
        <v>2226</v>
      </c>
      <c r="E13" s="93"/>
      <c r="F13" s="17"/>
      <c r="G13" s="21"/>
      <c r="H13" s="57" t="s">
        <v>2227</v>
      </c>
      <c r="I13" s="58" t="str">
        <f>Result!$D$57</f>
        <v>Net Present Value (NPV)</v>
      </c>
      <c r="J13" s="55" t="s">
        <v>2228</v>
      </c>
      <c r="K13" s="167">
        <v>1</v>
      </c>
      <c r="L13"/>
      <c r="M13" s="17"/>
      <c r="N13" s="140">
        <v>12</v>
      </c>
      <c r="O13" s="153"/>
      <c r="P13" s="17"/>
      <c r="Q13" s="17"/>
      <c r="R13" s="17"/>
      <c r="S13" s="17"/>
      <c r="T13" s="34"/>
      <c r="U13" s="34"/>
      <c r="V13" s="17"/>
      <c r="W13" s="17"/>
      <c r="X13" s="17">
        <f>MATCH(TEXT(FinMonth,"00")&amp;"*",Calculations!$G$6:$Q$6,0)</f>
        <v>5</v>
      </c>
      <c r="Y13" s="17" t="s">
        <v>1359</v>
      </c>
      <c r="Z13" s="17"/>
      <c r="AA13" s="17"/>
      <c r="AB13" s="35" t="s">
        <v>2229</v>
      </c>
      <c r="AC13" s="142" t="s">
        <v>5118</v>
      </c>
      <c r="AD13" s="179" t="s">
        <v>5384</v>
      </c>
      <c r="AE13" s="193" t="s">
        <v>965</v>
      </c>
      <c r="AF13" s="17"/>
    </row>
    <row r="14" spans="1:49" ht="12.75" customHeight="1" x14ac:dyDescent="0.35">
      <c r="A14" s="17"/>
      <c r="B14" s="54" t="s">
        <v>2230</v>
      </c>
      <c r="C14" s="54" t="s">
        <v>2231</v>
      </c>
      <c r="D14" s="124" t="s">
        <v>2232</v>
      </c>
      <c r="E14" s="59">
        <v>1</v>
      </c>
      <c r="F14" s="17"/>
      <c r="G14" s="17" t="s">
        <v>2233</v>
      </c>
      <c r="H14" s="17"/>
      <c r="I14" s="175" t="str">
        <f>Result!$D$70</f>
        <v>Profitability Index (PI)</v>
      </c>
      <c r="J14" s="21" t="b">
        <f>TRUE()</f>
        <v>1</v>
      </c>
      <c r="K14" s="165" t="s">
        <v>5222</v>
      </c>
      <c r="L14"/>
      <c r="M14" s="17"/>
      <c r="N14" s="140">
        <v>13</v>
      </c>
      <c r="O14" s="153"/>
      <c r="P14" s="17"/>
      <c r="Q14" s="17"/>
      <c r="R14" s="17"/>
      <c r="S14" s="17"/>
      <c r="T14" s="34"/>
      <c r="U14" s="34"/>
      <c r="V14" s="61" t="s">
        <v>2234</v>
      </c>
      <c r="W14" s="17" t="s">
        <v>2235</v>
      </c>
      <c r="X14" s="17"/>
      <c r="Y14" s="17" t="s">
        <v>2236</v>
      </c>
      <c r="Z14" s="17" t="s">
        <v>2237</v>
      </c>
      <c r="AA14" s="17" t="s">
        <v>2238</v>
      </c>
      <c r="AB14" s="41" t="s">
        <v>2239</v>
      </c>
      <c r="AC14" s="143" t="s">
        <v>5122</v>
      </c>
      <c r="AD14" s="179" t="s">
        <v>5385</v>
      </c>
      <c r="AE14" s="193" t="s">
        <v>5373</v>
      </c>
      <c r="AF14" s="17"/>
    </row>
    <row r="15" spans="1:49" ht="13.5" customHeight="1" x14ac:dyDescent="0.35">
      <c r="A15" s="17" t="s">
        <v>2240</v>
      </c>
      <c r="B15" s="21">
        <v>1</v>
      </c>
      <c r="C15" s="21">
        <v>2</v>
      </c>
      <c r="D15" s="62" t="s">
        <v>2241</v>
      </c>
      <c r="E15" s="63">
        <v>1</v>
      </c>
      <c r="F15" s="17"/>
      <c r="G15" s="21"/>
      <c r="H15" s="17"/>
      <c r="I15" s="60" t="str">
        <f>Result!$D$81</f>
        <v>Discounted Value Added (DCVA)</v>
      </c>
      <c r="J15" s="17"/>
      <c r="K15" s="167">
        <v>1</v>
      </c>
      <c r="L15"/>
      <c r="M15" s="17"/>
      <c r="N15" s="140">
        <v>14</v>
      </c>
      <c r="O15" s="153"/>
      <c r="P15" s="17"/>
      <c r="Q15" s="17"/>
      <c r="R15" s="17"/>
      <c r="S15" s="17"/>
      <c r="T15" s="34"/>
      <c r="U15" s="34"/>
      <c r="V15" s="126"/>
      <c r="W15" s="20" t="s">
        <v>2242</v>
      </c>
      <c r="X15" s="64" t="s">
        <v>2243</v>
      </c>
      <c r="Y15" s="17" t="s">
        <v>2244</v>
      </c>
      <c r="Z15" s="17" t="s">
        <v>2244</v>
      </c>
      <c r="AA15" s="17" t="s">
        <v>2245</v>
      </c>
      <c r="AB15" s="47" t="s">
        <v>2246</v>
      </c>
      <c r="AC15" s="144" t="s">
        <v>5123</v>
      </c>
      <c r="AD15" s="179" t="s">
        <v>5385</v>
      </c>
      <c r="AE15" s="193" t="s">
        <v>5213</v>
      </c>
      <c r="AF15" s="17"/>
    </row>
    <row r="16" spans="1:49" ht="12.75" customHeight="1" thickBot="1" x14ac:dyDescent="0.4">
      <c r="A16" s="35" t="str">
        <f>Result!$D$57</f>
        <v>Net Present Value (NPV)</v>
      </c>
      <c r="B16" s="17"/>
      <c r="C16" s="54" t="s">
        <v>2247</v>
      </c>
      <c r="D16" s="65" t="s">
        <v>2248</v>
      </c>
      <c r="E16" s="66">
        <v>2</v>
      </c>
      <c r="F16" s="17"/>
      <c r="G16" s="17"/>
      <c r="H16" s="17"/>
      <c r="I16" s="125" t="str">
        <f>Result!$D$72</f>
        <v>Payback time, years</v>
      </c>
      <c r="J16" s="160" t="s">
        <v>5219</v>
      </c>
      <c r="K16" s="165" t="s">
        <v>5223</v>
      </c>
      <c r="L16"/>
      <c r="M16" s="17"/>
      <c r="N16" s="140">
        <v>15</v>
      </c>
      <c r="O16" s="153"/>
      <c r="P16" s="17"/>
      <c r="Q16" s="17"/>
      <c r="R16" s="17"/>
      <c r="S16" s="17"/>
      <c r="T16" s="34"/>
      <c r="U16" s="34"/>
      <c r="V16" s="35"/>
      <c r="W16" s="35">
        <v>2</v>
      </c>
      <c r="X16" s="35">
        <v>3</v>
      </c>
      <c r="Y16" s="35">
        <v>0</v>
      </c>
      <c r="Z16" s="35">
        <v>0</v>
      </c>
      <c r="AA16" s="35"/>
      <c r="AB16" s="35">
        <v>0</v>
      </c>
      <c r="AC16" s="145">
        <v>0</v>
      </c>
      <c r="AD16" s="179" t="s">
        <v>5386</v>
      </c>
      <c r="AE16" s="193" t="s">
        <v>5374</v>
      </c>
      <c r="AF16" s="17"/>
    </row>
    <row r="17" spans="1:32" ht="13.5" customHeight="1" thickBot="1" x14ac:dyDescent="0.4">
      <c r="A17" s="41" t="str">
        <f>Result!$D$67</f>
        <v>Internal Rate of Return (IRR)</v>
      </c>
      <c r="B17" s="17"/>
      <c r="C17" s="38" t="str">
        <f>INDEX(FinYearsR,FinYearRIndex)</f>
        <v>12/2020</v>
      </c>
      <c r="D17" s="67" t="s">
        <v>2249</v>
      </c>
      <c r="E17" s="59" t="b">
        <f>TRUE()</f>
        <v>1</v>
      </c>
      <c r="F17" s="17" t="s">
        <v>2250</v>
      </c>
      <c r="G17" s="21"/>
      <c r="H17" s="17"/>
      <c r="I17" s="176" t="str">
        <f>Result!$D$76</f>
        <v>Simple Payback, years</v>
      </c>
      <c r="J17" s="166"/>
      <c r="K17" s="167">
        <v>1</v>
      </c>
      <c r="L17"/>
      <c r="M17" s="17"/>
      <c r="N17" s="140">
        <v>16</v>
      </c>
      <c r="O17" s="153"/>
      <c r="P17" s="17"/>
      <c r="Q17" s="17"/>
      <c r="R17" s="17"/>
      <c r="S17" s="17"/>
      <c r="T17" s="34"/>
      <c r="U17" s="34"/>
      <c r="V17" s="41"/>
      <c r="W17" s="41">
        <v>1</v>
      </c>
      <c r="X17" s="41">
        <v>4</v>
      </c>
      <c r="Y17" s="41">
        <v>0</v>
      </c>
      <c r="Z17" s="41">
        <v>0</v>
      </c>
      <c r="AA17" s="41"/>
      <c r="AB17" s="41">
        <v>0</v>
      </c>
      <c r="AC17" s="143">
        <v>0</v>
      </c>
      <c r="AD17" s="179" t="s">
        <v>5386</v>
      </c>
      <c r="AE17" s="193" t="s">
        <v>5216</v>
      </c>
      <c r="AF17" s="17"/>
    </row>
    <row r="18" spans="1:32" ht="12.75" customHeight="1" x14ac:dyDescent="0.35">
      <c r="A18" s="179" t="str">
        <f>Result!$D$68</f>
        <v>Internal Rate of Return before tax</v>
      </c>
      <c r="B18" s="17"/>
      <c r="C18" s="17"/>
      <c r="D18" s="67" t="s">
        <v>2251</v>
      </c>
      <c r="E18" s="59">
        <v>0</v>
      </c>
      <c r="F18" s="17" t="s">
        <v>2252</v>
      </c>
      <c r="G18" s="21">
        <v>0</v>
      </c>
      <c r="H18" s="17"/>
      <c r="I18" s="58" t="str">
        <f>Result!$D$111</f>
        <v>Net Present Value to equity (NPVe)</v>
      </c>
      <c r="J18" s="160" t="s">
        <v>5220</v>
      </c>
      <c r="K18" s="165" t="s">
        <v>5224</v>
      </c>
      <c r="L18"/>
      <c r="M18" s="17"/>
      <c r="N18" s="140">
        <v>17</v>
      </c>
      <c r="O18" s="153"/>
      <c r="P18" s="17"/>
      <c r="Q18" s="17"/>
      <c r="R18" s="17"/>
      <c r="S18" s="17"/>
      <c r="T18" s="34"/>
      <c r="U18" s="34"/>
      <c r="V18" s="41"/>
      <c r="W18" s="41">
        <v>1</v>
      </c>
      <c r="X18" s="41">
        <v>12</v>
      </c>
      <c r="Y18" s="41">
        <v>0</v>
      </c>
      <c r="Z18" s="41">
        <v>0</v>
      </c>
      <c r="AA18" s="41"/>
      <c r="AB18" s="41">
        <v>0</v>
      </c>
      <c r="AC18" s="143">
        <v>0</v>
      </c>
      <c r="AD18" s="179" t="s">
        <v>5387</v>
      </c>
      <c r="AE18" s="179" t="s">
        <v>5375</v>
      </c>
      <c r="AF18" s="17"/>
    </row>
    <row r="19" spans="1:32" ht="12.75" customHeight="1" x14ac:dyDescent="0.35">
      <c r="A19" s="17" t="str">
        <f>Result!$D$69</f>
        <v>Modified Internal Rate of Return (MIRR)</v>
      </c>
      <c r="B19" s="68" t="s">
        <v>2254</v>
      </c>
      <c r="C19" s="54" t="s">
        <v>2255</v>
      </c>
      <c r="D19" s="54" t="s">
        <v>2256</v>
      </c>
      <c r="E19" s="54" t="s">
        <v>2257</v>
      </c>
      <c r="F19" s="17" t="s">
        <v>2258</v>
      </c>
      <c r="G19" s="21">
        <v>1</v>
      </c>
      <c r="H19" s="17"/>
      <c r="I19" s="174" t="str">
        <f>Result!$D$118</f>
        <v>Payback time to equity, years</v>
      </c>
      <c r="J19" s="166"/>
      <c r="K19" s="167">
        <v>1</v>
      </c>
      <c r="L19"/>
      <c r="M19" s="17"/>
      <c r="N19" s="140">
        <v>18</v>
      </c>
      <c r="O19" s="153"/>
      <c r="P19" s="17"/>
      <c r="Q19" s="17"/>
      <c r="R19" s="17"/>
      <c r="S19" s="17"/>
      <c r="T19" s="34"/>
      <c r="U19" s="34"/>
      <c r="V19" s="41"/>
      <c r="W19" s="41">
        <v>1</v>
      </c>
      <c r="X19" s="41">
        <f t="shared" ref="X19:X75" ca="1" si="0">IF(AND(NOT(ISERROR($X$12)),$X$12&gt;0,$X$12&lt;=12),$X$12,12)</f>
        <v>4</v>
      </c>
      <c r="Y19" s="41">
        <v>0</v>
      </c>
      <c r="Z19" s="41">
        <v>0</v>
      </c>
      <c r="AA19" s="41"/>
      <c r="AB19" s="41">
        <v>0</v>
      </c>
      <c r="AC19" s="143">
        <v>0</v>
      </c>
      <c r="AD19" s="179" t="s">
        <v>5387</v>
      </c>
      <c r="AE19" s="179" t="s">
        <v>5378</v>
      </c>
      <c r="AF19" s="17"/>
    </row>
    <row r="20" spans="1:32" ht="12.75" customHeight="1" thickBot="1" x14ac:dyDescent="0.4">
      <c r="A20" s="160" t="str">
        <f>Result!$D$70</f>
        <v>Profitability Index (PI)</v>
      </c>
      <c r="B20" s="158" t="s">
        <v>6382</v>
      </c>
      <c r="C20" s="158" t="s">
        <v>6217</v>
      </c>
      <c r="D20" s="70">
        <f ca="1">Calculations!$K$1043</f>
        <v>-3924249.8769574608</v>
      </c>
      <c r="E20" s="70" t="e">
        <f ca="1">Calculations!$K$1044</f>
        <v>#N/A</v>
      </c>
      <c r="F20" s="17" t="s">
        <v>2259</v>
      </c>
      <c r="G20" s="21">
        <v>1</v>
      </c>
      <c r="H20" s="17"/>
      <c r="I20" s="177" t="str">
        <f>Result!$D$122</f>
        <v>Simple Payback to equity, years</v>
      </c>
      <c r="J20" s="160" t="s">
        <v>5323</v>
      </c>
      <c r="K20" s="160" t="s">
        <v>5260</v>
      </c>
      <c r="L20" s="160" t="s">
        <v>5325</v>
      </c>
      <c r="M20" s="17"/>
      <c r="N20" s="140">
        <v>19</v>
      </c>
      <c r="O20" s="153"/>
      <c r="P20" s="17"/>
      <c r="Q20" s="17"/>
      <c r="R20" s="17"/>
      <c r="S20" s="17"/>
      <c r="T20" s="34"/>
      <c r="U20" s="34"/>
      <c r="V20" s="41"/>
      <c r="W20" s="41">
        <v>1</v>
      </c>
      <c r="X20" s="41">
        <f t="shared" ca="1" si="0"/>
        <v>4</v>
      </c>
      <c r="Y20" s="41">
        <v>0</v>
      </c>
      <c r="Z20" s="41">
        <v>0</v>
      </c>
      <c r="AA20" s="41"/>
      <c r="AB20" s="41">
        <v>0</v>
      </c>
      <c r="AC20" s="143">
        <v>0</v>
      </c>
      <c r="AD20" s="179" t="s">
        <v>5388</v>
      </c>
      <c r="AE20" s="179" t="s">
        <v>5376</v>
      </c>
      <c r="AF20" s="17"/>
    </row>
    <row r="21" spans="1:32" ht="12.75" customHeight="1" x14ac:dyDescent="0.35">
      <c r="A21" s="47" t="str">
        <f>Result!$D$81</f>
        <v>Discounted Value Added (DCVA)</v>
      </c>
      <c r="B21" s="158" t="s">
        <v>6382</v>
      </c>
      <c r="C21" s="158" t="s">
        <v>6219</v>
      </c>
      <c r="D21" s="70">
        <f ca="1">Calculations!$L$1043</f>
        <v>-2664739.507511653</v>
      </c>
      <c r="E21" s="70" t="e">
        <f ca="1">Calculations!$L$1044</f>
        <v>#N/A</v>
      </c>
      <c r="F21" s="20" t="s">
        <v>2261</v>
      </c>
      <c r="G21" s="71">
        <v>0</v>
      </c>
      <c r="H21" s="17"/>
      <c r="I21" s="17" t="s">
        <v>2253</v>
      </c>
      <c r="J21" s="195" t="b">
        <f>FALSE()</f>
        <v>0</v>
      </c>
      <c r="K21" s="195" t="b">
        <f>FALSE()</f>
        <v>0</v>
      </c>
      <c r="L21" s="195" t="b">
        <f>FALSE()</f>
        <v>0</v>
      </c>
      <c r="M21" s="17"/>
      <c r="N21" s="140">
        <v>20</v>
      </c>
      <c r="O21" s="153"/>
      <c r="P21" s="17"/>
      <c r="Q21" s="17"/>
      <c r="R21" s="17"/>
      <c r="S21" s="17"/>
      <c r="T21" s="34"/>
      <c r="U21" s="34"/>
      <c r="V21" s="41"/>
      <c r="W21" s="41">
        <v>1</v>
      </c>
      <c r="X21" s="41">
        <f t="shared" ca="1" si="0"/>
        <v>4</v>
      </c>
      <c r="Y21" s="41">
        <v>0</v>
      </c>
      <c r="Z21" s="41">
        <v>0</v>
      </c>
      <c r="AA21" s="41"/>
      <c r="AB21" s="41">
        <v>0</v>
      </c>
      <c r="AC21" s="143">
        <v>0</v>
      </c>
      <c r="AD21" s="178" t="s">
        <v>5388</v>
      </c>
      <c r="AE21" s="178" t="s">
        <v>5264</v>
      </c>
      <c r="AF21" s="17"/>
    </row>
    <row r="22" spans="1:32" ht="12.75" customHeight="1" x14ac:dyDescent="0.35">
      <c r="A22" s="47" t="str">
        <f>Result!$D$72</f>
        <v>Payback time, years</v>
      </c>
      <c r="B22" s="158" t="s">
        <v>6384</v>
      </c>
      <c r="C22" s="158" t="s">
        <v>6221</v>
      </c>
      <c r="D22" s="70">
        <f ca="1">Calculations!$M$1043</f>
        <v>-1036689.1089818352</v>
      </c>
      <c r="E22" s="70" t="e">
        <f ca="1">Calculations!$M$1044</f>
        <v>#N/A</v>
      </c>
      <c r="F22" s="20" t="s">
        <v>2262</v>
      </c>
      <c r="G22" s="71">
        <v>0</v>
      </c>
      <c r="H22" s="17"/>
      <c r="I22" s="55">
        <v>1</v>
      </c>
      <c r="J22" s="160" t="s">
        <v>5324</v>
      </c>
      <c r="K22" s="160" t="s">
        <v>5261</v>
      </c>
      <c r="L22" s="160" t="s">
        <v>5326</v>
      </c>
      <c r="M22" s="17"/>
      <c r="N22" s="140">
        <v>21</v>
      </c>
      <c r="O22" s="153"/>
      <c r="P22" s="17"/>
      <c r="Q22" s="17"/>
      <c r="R22" s="17"/>
      <c r="S22" s="17"/>
      <c r="T22" s="34"/>
      <c r="U22" s="34"/>
      <c r="V22" s="41"/>
      <c r="W22" s="41">
        <v>1</v>
      </c>
      <c r="X22" s="41">
        <f t="shared" ca="1" si="0"/>
        <v>4</v>
      </c>
      <c r="Y22" s="41">
        <v>0</v>
      </c>
      <c r="Z22" s="41">
        <v>0</v>
      </c>
      <c r="AA22" s="41"/>
      <c r="AB22" s="41">
        <v>0</v>
      </c>
      <c r="AC22" s="143">
        <v>0</v>
      </c>
      <c r="AD22" s="191" t="s">
        <v>5389</v>
      </c>
      <c r="AE22" s="191" t="s">
        <v>970</v>
      </c>
      <c r="AF22" s="17"/>
    </row>
    <row r="23" spans="1:32" ht="12.75" customHeight="1" x14ac:dyDescent="0.35">
      <c r="A23" s="178" t="str">
        <f>Result!$D$76</f>
        <v>Simple Payback, years</v>
      </c>
      <c r="B23" s="158" t="s">
        <v>6386</v>
      </c>
      <c r="C23" s="158" t="s">
        <v>6223</v>
      </c>
      <c r="D23" s="70" t="e">
        <f ca="1">Calculations!$N$1043</f>
        <v>#N/A</v>
      </c>
      <c r="E23" s="70">
        <f ca="1">Calculations!$N$1044</f>
        <v>1333631.2410902111</v>
      </c>
      <c r="F23" s="20" t="s">
        <v>2264</v>
      </c>
      <c r="G23" s="71">
        <f>CalcPoint</f>
        <v>0</v>
      </c>
      <c r="H23" s="17"/>
      <c r="I23" s="17" t="s">
        <v>2260</v>
      </c>
      <c r="J23" s="195" t="s">
        <v>948</v>
      </c>
      <c r="K23" s="195" t="s">
        <v>961</v>
      </c>
      <c r="L23" s="195" t="s">
        <v>971</v>
      </c>
      <c r="M23" s="17"/>
      <c r="N23" s="140">
        <v>22</v>
      </c>
      <c r="O23" s="153"/>
      <c r="P23" s="17"/>
      <c r="Q23" s="17"/>
      <c r="R23" s="17"/>
      <c r="S23" s="17"/>
      <c r="T23" s="34"/>
      <c r="U23" s="34"/>
      <c r="V23" s="41"/>
      <c r="W23" s="41">
        <v>1</v>
      </c>
      <c r="X23" s="41">
        <f t="shared" ca="1" si="0"/>
        <v>4</v>
      </c>
      <c r="Y23" s="41">
        <v>0</v>
      </c>
      <c r="Z23" s="41">
        <v>0</v>
      </c>
      <c r="AA23" s="41"/>
      <c r="AB23" s="41">
        <v>0</v>
      </c>
      <c r="AC23" s="143">
        <v>0</v>
      </c>
      <c r="AD23" s="179" t="s">
        <v>5389</v>
      </c>
      <c r="AE23" s="179" t="s">
        <v>973</v>
      </c>
      <c r="AF23" s="17"/>
    </row>
    <row r="24" spans="1:32" ht="12.75" customHeight="1" x14ac:dyDescent="0.35">
      <c r="A24" s="17" t="str">
        <f>Result!$D$111</f>
        <v>Net Present Value to equity (NPVe)</v>
      </c>
      <c r="B24" s="158" t="s">
        <v>6217</v>
      </c>
      <c r="C24" s="158" t="s">
        <v>6388</v>
      </c>
      <c r="D24" s="70" t="e">
        <f ca="1">Calculations!$O$1043</f>
        <v>#N/A</v>
      </c>
      <c r="E24" s="70">
        <f ca="1">Calculations!$O$1044</f>
        <v>4447371.5621488057</v>
      </c>
      <c r="F24" s="20" t="s">
        <v>2265</v>
      </c>
      <c r="G24" s="71">
        <v>0</v>
      </c>
      <c r="H24" s="17"/>
      <c r="I24" s="72">
        <f ca="1">Calculations!$Q$1075</f>
        <v>64</v>
      </c>
      <c r="J24" s="160" t="s">
        <v>5398</v>
      </c>
      <c r="K24" s="160" t="s">
        <v>5399</v>
      </c>
      <c r="L24" s="160" t="s">
        <v>5400</v>
      </c>
      <c r="M24" s="17"/>
      <c r="N24" s="140">
        <v>23</v>
      </c>
      <c r="O24" s="153"/>
      <c r="P24" s="17"/>
      <c r="Q24" s="17"/>
      <c r="R24" s="17"/>
      <c r="S24" s="17"/>
      <c r="T24" s="34"/>
      <c r="U24" s="34"/>
      <c r="V24" s="41"/>
      <c r="W24" s="41">
        <v>1</v>
      </c>
      <c r="X24" s="41">
        <f t="shared" ca="1" si="0"/>
        <v>4</v>
      </c>
      <c r="Y24" s="41">
        <v>0</v>
      </c>
      <c r="Z24" s="41">
        <v>0</v>
      </c>
      <c r="AA24" s="41"/>
      <c r="AB24" s="41">
        <v>0</v>
      </c>
      <c r="AC24" s="143">
        <v>0</v>
      </c>
      <c r="AD24" s="179" t="s">
        <v>5390</v>
      </c>
      <c r="AE24" s="179" t="s">
        <v>5289</v>
      </c>
      <c r="AF24" s="17"/>
    </row>
    <row r="25" spans="1:32" ht="12.75" customHeight="1" x14ac:dyDescent="0.35">
      <c r="A25" s="17" t="str">
        <f>Result!$D$114</f>
        <v>Internal Rate of Return to equity (IRRe)</v>
      </c>
      <c r="B25" s="158" t="s">
        <v>6219</v>
      </c>
      <c r="C25" s="69" t="s">
        <v>6390</v>
      </c>
      <c r="D25" s="70" t="e">
        <f ca="1">Calculations!$P$1043</f>
        <v>#N/A</v>
      </c>
      <c r="E25" s="70">
        <f ca="1">Calculations!$P$1044</f>
        <v>8526816.3334430382</v>
      </c>
      <c r="F25" s="20" t="s">
        <v>2267</v>
      </c>
      <c r="G25" s="71">
        <v>0</v>
      </c>
      <c r="H25" s="17"/>
      <c r="I25" s="17" t="s">
        <v>2263</v>
      </c>
      <c r="J25" s="195">
        <v>5</v>
      </c>
      <c r="K25" s="195">
        <v>5</v>
      </c>
      <c r="L25" s="195">
        <v>5</v>
      </c>
      <c r="M25" s="17"/>
      <c r="N25" s="140">
        <v>24</v>
      </c>
      <c r="O25" s="153"/>
      <c r="P25" s="17"/>
      <c r="Q25" s="17"/>
      <c r="R25" s="17"/>
      <c r="S25" s="17"/>
      <c r="T25" s="34"/>
      <c r="U25" s="34"/>
      <c r="V25" s="41"/>
      <c r="W25" s="41">
        <v>1</v>
      </c>
      <c r="X25" s="41">
        <f t="shared" ca="1" si="0"/>
        <v>4</v>
      </c>
      <c r="Y25" s="41">
        <v>0</v>
      </c>
      <c r="Z25" s="41">
        <v>0</v>
      </c>
      <c r="AA25" s="41"/>
      <c r="AB25" s="41">
        <v>0</v>
      </c>
      <c r="AC25" s="143">
        <v>0</v>
      </c>
      <c r="AD25" s="179" t="s">
        <v>5390</v>
      </c>
      <c r="AE25" s="179" t="s">
        <v>5297</v>
      </c>
      <c r="AF25" s="17"/>
    </row>
    <row r="26" spans="1:32" ht="12.75" customHeight="1" x14ac:dyDescent="0.35">
      <c r="A26" s="160" t="str">
        <f>Result!$D$115</f>
        <v>Internal Rate of Return to equity before tax</v>
      </c>
      <c r="B26" s="69" t="s">
        <v>6221</v>
      </c>
      <c r="C26" s="69"/>
      <c r="D26" s="70"/>
      <c r="E26" s="70"/>
      <c r="F26" s="20" t="s">
        <v>2269</v>
      </c>
      <c r="G26" s="71">
        <v>1</v>
      </c>
      <c r="H26" s="17"/>
      <c r="I26" s="72">
        <f ca="1">Calculations!$Q$1075</f>
        <v>64</v>
      </c>
      <c r="J26" s="219" t="s">
        <v>5445</v>
      </c>
      <c r="K26" s="219" t="s">
        <v>5446</v>
      </c>
      <c r="L26" s="219" t="s">
        <v>5447</v>
      </c>
      <c r="M26" s="17"/>
      <c r="N26" s="141">
        <v>25</v>
      </c>
      <c r="O26" s="154"/>
      <c r="P26" s="17"/>
      <c r="Q26" s="17"/>
      <c r="R26" s="17"/>
      <c r="S26" s="17"/>
      <c r="T26" s="17"/>
      <c r="U26" s="17"/>
      <c r="V26" s="41"/>
      <c r="W26" s="41">
        <v>1</v>
      </c>
      <c r="X26" s="41">
        <f t="shared" ca="1" si="0"/>
        <v>4</v>
      </c>
      <c r="Y26" s="41">
        <v>0</v>
      </c>
      <c r="Z26" s="41">
        <v>0</v>
      </c>
      <c r="AA26" s="41"/>
      <c r="AB26" s="41">
        <v>0</v>
      </c>
      <c r="AC26" s="143">
        <v>0</v>
      </c>
      <c r="AD26" s="179" t="s">
        <v>5391</v>
      </c>
      <c r="AE26" s="179" t="s">
        <v>5291</v>
      </c>
      <c r="AF26" s="17"/>
    </row>
    <row r="27" spans="1:32" ht="12.75" customHeight="1" x14ac:dyDescent="0.35">
      <c r="A27" s="17" t="str">
        <f>Result!$D$116</f>
        <v>Modified Internal Rate of Return to equity (MIRRe)</v>
      </c>
      <c r="B27" s="69" t="s">
        <v>6223</v>
      </c>
      <c r="C27" s="69"/>
      <c r="D27" s="70"/>
      <c r="E27" s="70"/>
      <c r="F27" s="20" t="s">
        <v>2271</v>
      </c>
      <c r="G27" s="71">
        <v>0</v>
      </c>
      <c r="H27" s="17"/>
      <c r="I27" s="17"/>
      <c r="J27" s="195" t="s">
        <v>5273</v>
      </c>
      <c r="K27" s="195" t="s">
        <v>5213</v>
      </c>
      <c r="L27" s="195" t="s">
        <v>5289</v>
      </c>
      <c r="M27" s="17"/>
      <c r="N27" s="17"/>
      <c r="O27" s="17"/>
      <c r="P27" s="17"/>
      <c r="Q27" s="17"/>
      <c r="R27" s="17"/>
      <c r="S27" s="17"/>
      <c r="T27" s="17"/>
      <c r="U27" s="17"/>
      <c r="V27" s="41"/>
      <c r="W27" s="41">
        <v>1</v>
      </c>
      <c r="X27" s="41">
        <f t="shared" ca="1" si="0"/>
        <v>4</v>
      </c>
      <c r="Y27" s="41">
        <v>0</v>
      </c>
      <c r="Z27" s="41">
        <v>0</v>
      </c>
      <c r="AA27" s="41"/>
      <c r="AB27" s="41">
        <v>0</v>
      </c>
      <c r="AC27" s="143">
        <v>0</v>
      </c>
      <c r="AD27" s="179" t="s">
        <v>5391</v>
      </c>
      <c r="AE27" s="179" t="s">
        <v>5298</v>
      </c>
      <c r="AF27" s="17"/>
    </row>
    <row r="28" spans="1:32" ht="12.75" customHeight="1" x14ac:dyDescent="0.35">
      <c r="A28" s="17" t="str">
        <f>Result!$D$118</f>
        <v>Payback time to equity, years</v>
      </c>
      <c r="B28" s="69" t="s">
        <v>6388</v>
      </c>
      <c r="C28" s="69"/>
      <c r="D28" s="70"/>
      <c r="E28" s="70"/>
      <c r="F28" s="17"/>
      <c r="G28" s="17"/>
      <c r="H28" s="17"/>
      <c r="I28" s="17" t="s">
        <v>2268</v>
      </c>
      <c r="J28" s="17"/>
      <c r="K28" s="17"/>
      <c r="L28" s="17" t="s">
        <v>2273</v>
      </c>
      <c r="M28" s="17"/>
      <c r="N28" s="17"/>
      <c r="O28" s="17" t="s">
        <v>2274</v>
      </c>
      <c r="P28" s="17"/>
      <c r="Q28" s="17"/>
      <c r="R28" s="17"/>
      <c r="S28" s="17"/>
      <c r="T28" s="17"/>
      <c r="U28" s="17"/>
      <c r="V28" s="41"/>
      <c r="W28" s="41">
        <v>1</v>
      </c>
      <c r="X28" s="41">
        <f t="shared" ca="1" si="0"/>
        <v>4</v>
      </c>
      <c r="Y28" s="41">
        <v>0</v>
      </c>
      <c r="Z28" s="41">
        <v>0</v>
      </c>
      <c r="AA28" s="41"/>
      <c r="AB28" s="41">
        <v>0</v>
      </c>
      <c r="AC28" s="143">
        <v>0</v>
      </c>
      <c r="AD28" s="179" t="s">
        <v>5392</v>
      </c>
      <c r="AE28" s="179" t="s">
        <v>5293</v>
      </c>
      <c r="AF28" s="17"/>
    </row>
    <row r="29" spans="1:32" ht="12.75" customHeight="1" x14ac:dyDescent="0.35">
      <c r="A29" s="160" t="str">
        <f>Result!$D$122</f>
        <v>Simple Payback to equity, years</v>
      </c>
      <c r="B29" s="69" t="s">
        <v>6390</v>
      </c>
      <c r="C29" s="69"/>
      <c r="D29" s="70"/>
      <c r="E29" s="70"/>
      <c r="F29" s="17"/>
      <c r="G29" s="17"/>
      <c r="H29" s="17"/>
      <c r="I29" s="21">
        <v>0</v>
      </c>
      <c r="J29" s="17" t="s">
        <v>2277</v>
      </c>
      <c r="K29" s="21">
        <v>1</v>
      </c>
      <c r="L29" s="35" t="str">
        <f>TRIM(Calculations!C718)</f>
        <v>Immaterial rights</v>
      </c>
      <c r="M29" s="61" t="s">
        <v>2278</v>
      </c>
      <c r="N29" s="21"/>
      <c r="O29" s="21">
        <v>1</v>
      </c>
      <c r="P29" s="17"/>
      <c r="Q29" s="17"/>
      <c r="R29" s="17"/>
      <c r="S29" s="17"/>
      <c r="T29" s="17"/>
      <c r="U29" s="17"/>
      <c r="V29" s="41"/>
      <c r="W29" s="41">
        <v>1</v>
      </c>
      <c r="X29" s="41">
        <f t="shared" ca="1" si="0"/>
        <v>4</v>
      </c>
      <c r="Y29" s="41">
        <v>0</v>
      </c>
      <c r="Z29" s="41">
        <v>0</v>
      </c>
      <c r="AA29" s="41"/>
      <c r="AB29" s="41">
        <v>0</v>
      </c>
      <c r="AC29" s="143">
        <v>0</v>
      </c>
      <c r="AD29" s="179" t="s">
        <v>5392</v>
      </c>
      <c r="AE29" s="179" t="s">
        <v>5299</v>
      </c>
      <c r="AF29" s="17"/>
    </row>
    <row r="30" spans="1:32" ht="12.75" customHeight="1" x14ac:dyDescent="0.35">
      <c r="A30" s="28" t="s">
        <v>2266</v>
      </c>
      <c r="B30" s="69"/>
      <c r="C30" s="17"/>
      <c r="D30" s="17"/>
      <c r="E30" s="17"/>
      <c r="F30" s="17"/>
      <c r="G30" s="17"/>
      <c r="H30" s="17"/>
      <c r="I30" s="17" t="s">
        <v>2272</v>
      </c>
      <c r="J30" s="17" t="s">
        <v>2279</v>
      </c>
      <c r="K30" s="21">
        <v>1</v>
      </c>
      <c r="L30" s="41" t="str">
        <f>TRIM(Calculations!C722)</f>
        <v>Capitalized development costs</v>
      </c>
      <c r="M30" s="61" t="s">
        <v>2280</v>
      </c>
      <c r="N30" s="21"/>
      <c r="O30" s="21"/>
      <c r="P30" s="17"/>
      <c r="Q30" s="17"/>
      <c r="R30" s="17"/>
      <c r="S30" s="17"/>
      <c r="T30" s="17"/>
      <c r="U30" s="17"/>
      <c r="V30" s="41"/>
      <c r="W30" s="41">
        <v>1</v>
      </c>
      <c r="X30" s="41">
        <f t="shared" ca="1" si="0"/>
        <v>4</v>
      </c>
      <c r="Y30" s="41">
        <v>0</v>
      </c>
      <c r="Z30" s="41">
        <v>0</v>
      </c>
      <c r="AA30" s="41"/>
      <c r="AB30" s="41">
        <v>0</v>
      </c>
      <c r="AC30" s="143">
        <v>0</v>
      </c>
      <c r="AD30" s="179" t="s">
        <v>5393</v>
      </c>
      <c r="AE30" s="179" t="s">
        <v>5295</v>
      </c>
      <c r="AF30" s="17"/>
    </row>
    <row r="31" spans="1:32" ht="12.75" customHeight="1" x14ac:dyDescent="0.35">
      <c r="A31" s="73">
        <f>IF(WACCTotalCapital&lt;&gt;0,((WACCCostOfDebt/100)*(1-WACCTaxRatio/100)*(WACCDebt/WACCTotalCapital)+(WACCReturnOnEquity/100)*(WACCEquity/WACCTotalCapital))*100,0)</f>
        <v>0</v>
      </c>
      <c r="B31" s="69"/>
      <c r="C31" s="17"/>
      <c r="D31" s="17"/>
      <c r="E31" s="17"/>
      <c r="F31" s="20" t="s">
        <v>2281</v>
      </c>
      <c r="G31" s="21">
        <v>2</v>
      </c>
      <c r="H31" s="17"/>
      <c r="I31" s="21">
        <v>0</v>
      </c>
      <c r="J31" s="17" t="s">
        <v>2283</v>
      </c>
      <c r="K31" s="21">
        <v>1</v>
      </c>
      <c r="L31" s="41" t="str">
        <f>TRIM(Calculations!C726)</f>
        <v>Goodwill</v>
      </c>
      <c r="M31" s="61" t="s">
        <v>2284</v>
      </c>
      <c r="N31" s="21"/>
      <c r="O31" s="21"/>
      <c r="P31" s="17"/>
      <c r="Q31" s="28"/>
      <c r="R31" s="28"/>
      <c r="S31" s="17"/>
      <c r="T31" s="17"/>
      <c r="U31" s="17"/>
      <c r="V31" s="41"/>
      <c r="W31" s="41">
        <v>1</v>
      </c>
      <c r="X31" s="41">
        <f t="shared" ca="1" si="0"/>
        <v>4</v>
      </c>
      <c r="Y31" s="41">
        <v>0</v>
      </c>
      <c r="Z31" s="41">
        <v>0</v>
      </c>
      <c r="AA31" s="41"/>
      <c r="AB31" s="41">
        <v>0</v>
      </c>
      <c r="AC31" s="143">
        <v>0</v>
      </c>
      <c r="AD31" s="178" t="s">
        <v>5393</v>
      </c>
      <c r="AE31" s="178" t="s">
        <v>5300</v>
      </c>
      <c r="AF31" s="17"/>
    </row>
    <row r="32" spans="1:32" ht="12.75" customHeight="1" x14ac:dyDescent="0.35">
      <c r="A32" s="28" t="s">
        <v>2270</v>
      </c>
      <c r="B32" s="69"/>
      <c r="C32" s="17"/>
      <c r="D32" s="17"/>
      <c r="E32" s="17"/>
      <c r="F32" s="17"/>
      <c r="G32" s="17"/>
      <c r="H32" s="17"/>
      <c r="I32" s="17" t="s">
        <v>2276</v>
      </c>
      <c r="J32" s="17" t="s">
        <v>2286</v>
      </c>
      <c r="K32" s="21">
        <v>1</v>
      </c>
      <c r="L32" s="41" t="str">
        <f>TRIM(Calculations!C730)</f>
        <v>Other intangible assets</v>
      </c>
      <c r="M32" s="61" t="s">
        <v>2287</v>
      </c>
      <c r="N32" s="21"/>
      <c r="O32" s="21"/>
      <c r="P32" s="17"/>
      <c r="Q32" s="17"/>
      <c r="R32" s="17"/>
      <c r="S32" s="17"/>
      <c r="T32" s="17"/>
      <c r="U32" s="17"/>
      <c r="V32" s="41"/>
      <c r="W32" s="41">
        <v>1</v>
      </c>
      <c r="X32" s="41">
        <f t="shared" ca="1" si="0"/>
        <v>4</v>
      </c>
      <c r="Y32" s="41">
        <v>0</v>
      </c>
      <c r="Z32" s="41">
        <v>0</v>
      </c>
      <c r="AA32" s="41"/>
      <c r="AB32" s="41">
        <v>0</v>
      </c>
      <c r="AC32" s="143">
        <v>0</v>
      </c>
      <c r="AD32" s="61" t="s">
        <v>5566</v>
      </c>
      <c r="AE32" s="1220" t="s">
        <v>949</v>
      </c>
      <c r="AF32" s="17"/>
    </row>
    <row r="33" spans="1:32" ht="12.75" customHeight="1" x14ac:dyDescent="0.35">
      <c r="A33" s="38">
        <f>DiscYear</f>
        <v>2.75</v>
      </c>
      <c r="B33" s="69"/>
      <c r="C33" s="17"/>
      <c r="D33" s="17"/>
      <c r="E33" s="17"/>
      <c r="F33" s="17"/>
      <c r="G33" s="17"/>
      <c r="H33" s="17"/>
      <c r="I33" s="21">
        <v>1</v>
      </c>
      <c r="J33" s="17" t="s">
        <v>2289</v>
      </c>
      <c r="K33" s="21">
        <v>1</v>
      </c>
      <c r="L33" s="41" t="str">
        <f>TRIM(Calculations!C735)</f>
        <v>Machinery and equipment</v>
      </c>
      <c r="M33" s="61" t="s">
        <v>2290</v>
      </c>
      <c r="N33" s="21"/>
      <c r="O33" s="21"/>
      <c r="P33" s="17"/>
      <c r="Q33" s="17"/>
      <c r="R33" s="17"/>
      <c r="S33" s="17"/>
      <c r="T33" s="17"/>
      <c r="U33" s="17"/>
      <c r="V33" s="41"/>
      <c r="W33" s="41">
        <v>1</v>
      </c>
      <c r="X33" s="41">
        <f t="shared" ca="1" si="0"/>
        <v>4</v>
      </c>
      <c r="Y33" s="41">
        <v>0</v>
      </c>
      <c r="Z33" s="41">
        <v>0</v>
      </c>
      <c r="AA33" s="41"/>
      <c r="AB33" s="41">
        <v>0</v>
      </c>
      <c r="AC33" s="143">
        <v>0</v>
      </c>
      <c r="AD33" s="17"/>
      <c r="AE33" s="1221" t="s">
        <v>5277</v>
      </c>
      <c r="AF33" s="17"/>
    </row>
    <row r="34" spans="1:32" ht="12.75" customHeight="1" x14ac:dyDescent="0.35">
      <c r="A34" s="28" t="s">
        <v>2275</v>
      </c>
      <c r="B34" s="69"/>
      <c r="C34" s="17"/>
      <c r="D34" s="17"/>
      <c r="E34" s="17"/>
      <c r="F34" s="20" t="s">
        <v>2292</v>
      </c>
      <c r="G34" s="21">
        <v>0</v>
      </c>
      <c r="H34" s="17"/>
      <c r="I34" s="17" t="s">
        <v>2282</v>
      </c>
      <c r="J34" s="17" t="s">
        <v>2293</v>
      </c>
      <c r="K34" s="21">
        <v>1</v>
      </c>
      <c r="L34" s="41" t="str">
        <f>TRIM(Calculations!C739)</f>
        <v>Buildings and structures</v>
      </c>
      <c r="M34" s="61" t="s">
        <v>2294</v>
      </c>
      <c r="N34" s="21"/>
      <c r="O34" s="21"/>
      <c r="P34" s="17"/>
      <c r="Q34" s="17"/>
      <c r="R34" s="17"/>
      <c r="S34" s="17"/>
      <c r="T34" s="17"/>
      <c r="U34" s="17"/>
      <c r="V34" s="41"/>
      <c r="W34" s="41">
        <v>1</v>
      </c>
      <c r="X34" s="41">
        <f t="shared" ca="1" si="0"/>
        <v>4</v>
      </c>
      <c r="Y34" s="41">
        <v>0</v>
      </c>
      <c r="Z34" s="41">
        <v>0</v>
      </c>
      <c r="AA34" s="41"/>
      <c r="AB34" s="41">
        <v>0</v>
      </c>
      <c r="AC34" s="143">
        <v>0</v>
      </c>
      <c r="AD34" s="17"/>
      <c r="AE34" s="1221" t="s">
        <v>5278</v>
      </c>
      <c r="AF34" s="17"/>
    </row>
    <row r="35" spans="1:32" ht="12.75" customHeight="1" x14ac:dyDescent="0.35">
      <c r="A35" s="38">
        <f>(1+WACCPreTax/100)^(1/12)-1</f>
        <v>2.2632796417700884E-3</v>
      </c>
      <c r="B35" s="69"/>
      <c r="C35" s="17"/>
      <c r="D35" s="17"/>
      <c r="E35" s="17"/>
      <c r="F35" s="20" t="s">
        <v>2295</v>
      </c>
      <c r="G35" s="21">
        <v>1</v>
      </c>
      <c r="H35" s="17"/>
      <c r="I35" s="21" t="b">
        <v>0</v>
      </c>
      <c r="J35" s="17" t="s">
        <v>2297</v>
      </c>
      <c r="K35" s="21">
        <v>1</v>
      </c>
      <c r="L35" s="41" t="str">
        <f>TRIM(Calculations!C743)</f>
        <v>Land and water</v>
      </c>
      <c r="M35" s="61" t="s">
        <v>2298</v>
      </c>
      <c r="N35" s="21"/>
      <c r="O35" s="21"/>
      <c r="P35" s="17"/>
      <c r="Q35" s="17"/>
      <c r="R35" s="17"/>
      <c r="S35" s="17"/>
      <c r="T35" s="17"/>
      <c r="U35" s="17"/>
      <c r="V35" s="41"/>
      <c r="W35" s="41">
        <v>1</v>
      </c>
      <c r="X35" s="41">
        <f t="shared" ca="1" si="0"/>
        <v>4</v>
      </c>
      <c r="Y35" s="41">
        <v>0</v>
      </c>
      <c r="Z35" s="41">
        <v>0</v>
      </c>
      <c r="AA35" s="41"/>
      <c r="AB35" s="41">
        <v>0</v>
      </c>
      <c r="AC35" s="143">
        <v>0</v>
      </c>
      <c r="AD35" s="17"/>
      <c r="AE35" s="1221" t="s">
        <v>5279</v>
      </c>
      <c r="AF35" s="17"/>
    </row>
    <row r="36" spans="1:32" ht="12.75" customHeight="1" x14ac:dyDescent="0.35">
      <c r="A36" s="17"/>
      <c r="B36" s="69"/>
      <c r="C36" s="17"/>
      <c r="D36" s="17"/>
      <c r="E36" s="17"/>
      <c r="F36" s="20" t="s">
        <v>2299</v>
      </c>
      <c r="G36" s="21">
        <v>1</v>
      </c>
      <c r="H36" s="17"/>
      <c r="I36" s="17" t="s">
        <v>2288</v>
      </c>
      <c r="J36" s="17" t="s">
        <v>2300</v>
      </c>
      <c r="K36" s="21">
        <v>1</v>
      </c>
      <c r="L36" s="41" t="str">
        <f>TRIM(Calculations!C747)</f>
        <v>Prepayments and construction in progress</v>
      </c>
      <c r="M36" s="61" t="s">
        <v>2301</v>
      </c>
      <c r="N36" s="21"/>
      <c r="O36" s="21"/>
      <c r="P36" s="17"/>
      <c r="Q36" s="17"/>
      <c r="R36" s="17"/>
      <c r="S36" s="17"/>
      <c r="T36" s="17"/>
      <c r="U36" s="17"/>
      <c r="V36" s="41"/>
      <c r="W36" s="41">
        <v>1</v>
      </c>
      <c r="X36" s="41">
        <f t="shared" ca="1" si="0"/>
        <v>4</v>
      </c>
      <c r="Y36" s="41">
        <v>0</v>
      </c>
      <c r="Z36" s="41">
        <v>0</v>
      </c>
      <c r="AA36" s="41"/>
      <c r="AB36" s="41">
        <v>0</v>
      </c>
      <c r="AC36" s="143">
        <v>0</v>
      </c>
      <c r="AD36" s="17"/>
      <c r="AE36" s="1221" t="s">
        <v>5280</v>
      </c>
      <c r="AF36" s="17"/>
    </row>
    <row r="37" spans="1:32" ht="12.75" customHeight="1" x14ac:dyDescent="0.35">
      <c r="A37" s="21" t="s">
        <v>2285</v>
      </c>
      <c r="B37" s="69"/>
      <c r="C37" s="17"/>
      <c r="D37" s="17"/>
      <c r="E37" s="17"/>
      <c r="F37" s="20" t="s">
        <v>2302</v>
      </c>
      <c r="G37" s="21">
        <v>0</v>
      </c>
      <c r="H37" s="17"/>
      <c r="I37" s="21" t="b">
        <f>FALSE()</f>
        <v>0</v>
      </c>
      <c r="J37" s="17" t="s">
        <v>2304</v>
      </c>
      <c r="K37" s="21">
        <v>1</v>
      </c>
      <c r="L37" s="41" t="str">
        <f>TRIM(Calculations!C751)</f>
        <v>Other tangible assets</v>
      </c>
      <c r="M37" s="61" t="s">
        <v>2305</v>
      </c>
      <c r="N37" s="21"/>
      <c r="O37" s="21"/>
      <c r="P37" s="17"/>
      <c r="Q37" s="17"/>
      <c r="R37" s="17"/>
      <c r="S37" s="17"/>
      <c r="T37" s="17"/>
      <c r="U37" s="17"/>
      <c r="V37" s="41"/>
      <c r="W37" s="41">
        <v>1</v>
      </c>
      <c r="X37" s="41">
        <f t="shared" ca="1" si="0"/>
        <v>4</v>
      </c>
      <c r="Y37" s="41">
        <v>0</v>
      </c>
      <c r="Z37" s="41">
        <v>0</v>
      </c>
      <c r="AA37" s="41"/>
      <c r="AB37" s="41">
        <v>0</v>
      </c>
      <c r="AC37" s="143">
        <v>0</v>
      </c>
      <c r="AD37" s="17"/>
      <c r="AE37" s="1221" t="s">
        <v>964</v>
      </c>
      <c r="AF37" s="17"/>
    </row>
    <row r="38" spans="1:32" ht="12.75" customHeight="1" x14ac:dyDescent="0.35">
      <c r="A38" s="21">
        <v>1</v>
      </c>
      <c r="B38" s="69"/>
      <c r="C38" s="17"/>
      <c r="D38" s="17"/>
      <c r="E38" s="17"/>
      <c r="F38" s="20" t="s">
        <v>2306</v>
      </c>
      <c r="G38" s="21">
        <v>1</v>
      </c>
      <c r="H38" s="17"/>
      <c r="I38" s="17" t="s">
        <v>2296</v>
      </c>
      <c r="J38" s="17" t="s">
        <v>2308</v>
      </c>
      <c r="K38" s="21">
        <v>1</v>
      </c>
      <c r="L38" s="41" t="str">
        <f>TRIM(Calculations!C756)</f>
        <v>Investments in associated companies</v>
      </c>
      <c r="M38" s="61" t="s">
        <v>2309</v>
      </c>
      <c r="N38" s="21"/>
      <c r="O38" s="21"/>
      <c r="P38" s="17"/>
      <c r="Q38" s="17"/>
      <c r="R38" s="17"/>
      <c r="S38" s="17"/>
      <c r="T38" s="17"/>
      <c r="U38" s="17"/>
      <c r="V38" s="41"/>
      <c r="W38" s="41">
        <v>1</v>
      </c>
      <c r="X38" s="41">
        <f t="shared" ca="1" si="0"/>
        <v>4</v>
      </c>
      <c r="Y38" s="41">
        <v>0</v>
      </c>
      <c r="Z38" s="41">
        <v>0</v>
      </c>
      <c r="AA38" s="41"/>
      <c r="AB38" s="41">
        <v>0</v>
      </c>
      <c r="AC38" s="143">
        <v>0</v>
      </c>
      <c r="AD38" s="17"/>
      <c r="AE38" s="1221" t="s">
        <v>5212</v>
      </c>
      <c r="AF38" s="17"/>
    </row>
    <row r="39" spans="1:32" ht="12.75" customHeight="1" x14ac:dyDescent="0.35">
      <c r="A39" s="118" t="s">
        <v>2291</v>
      </c>
      <c r="B39" s="69"/>
      <c r="C39" s="17"/>
      <c r="D39" s="17"/>
      <c r="E39" s="17"/>
      <c r="F39" s="20" t="s">
        <v>2310</v>
      </c>
      <c r="G39" s="21">
        <v>1</v>
      </c>
      <c r="H39" s="17"/>
      <c r="I39" s="21" t="b">
        <f>FALSE()</f>
        <v>0</v>
      </c>
      <c r="J39" s="17" t="s">
        <v>2312</v>
      </c>
      <c r="K39" s="21">
        <v>1</v>
      </c>
      <c r="L39" s="41" t="str">
        <f>TRIM(Calculations!C760)</f>
        <v>Deferred tax assets</v>
      </c>
      <c r="M39" s="61" t="s">
        <v>2313</v>
      </c>
      <c r="N39" s="21"/>
      <c r="O39" s="21"/>
      <c r="P39" s="17"/>
      <c r="Q39" s="17"/>
      <c r="R39" s="17"/>
      <c r="S39" s="17"/>
      <c r="T39" s="17"/>
      <c r="U39" s="17"/>
      <c r="V39" s="41"/>
      <c r="W39" s="41">
        <v>1</v>
      </c>
      <c r="X39" s="41">
        <f t="shared" ca="1" si="0"/>
        <v>4</v>
      </c>
      <c r="Y39" s="41">
        <v>0</v>
      </c>
      <c r="Z39" s="41">
        <v>0</v>
      </c>
      <c r="AA39" s="41"/>
      <c r="AB39" s="41">
        <v>0</v>
      </c>
      <c r="AC39" s="143">
        <v>0</v>
      </c>
      <c r="AD39" s="17"/>
      <c r="AE39" s="1221" t="s">
        <v>5215</v>
      </c>
      <c r="AF39" s="17"/>
    </row>
    <row r="40" spans="1:32" ht="12.75" customHeight="1" x14ac:dyDescent="0.35">
      <c r="A40" s="156" t="s">
        <v>6217</v>
      </c>
      <c r="B40" s="69"/>
      <c r="C40" s="17"/>
      <c r="D40" s="17"/>
      <c r="E40" s="17"/>
      <c r="F40" s="20" t="s">
        <v>2314</v>
      </c>
      <c r="G40" s="21">
        <f>COUNTIF(FinYearsR,"&lt;&gt;""""")</f>
        <v>6</v>
      </c>
      <c r="H40" s="17"/>
      <c r="I40" s="17" t="s">
        <v>2303</v>
      </c>
      <c r="J40" s="17" t="s">
        <v>2315</v>
      </c>
      <c r="K40" s="21">
        <v>1</v>
      </c>
      <c r="L40" s="41" t="str">
        <f>TRIM(Calculations!C764)</f>
        <v>Long-term loans receivable</v>
      </c>
      <c r="M40" s="61" t="s">
        <v>2316</v>
      </c>
      <c r="N40" s="21"/>
      <c r="O40" s="21"/>
      <c r="P40" s="17"/>
      <c r="Q40" s="17"/>
      <c r="R40" s="17"/>
      <c r="S40" s="17"/>
      <c r="T40" s="17"/>
      <c r="U40" s="17"/>
      <c r="V40" s="41"/>
      <c r="W40" s="41">
        <v>1</v>
      </c>
      <c r="X40" s="41">
        <f t="shared" ca="1" si="0"/>
        <v>4</v>
      </c>
      <c r="Y40" s="41">
        <v>0</v>
      </c>
      <c r="Z40" s="41">
        <v>0</v>
      </c>
      <c r="AA40" s="41"/>
      <c r="AB40" s="41">
        <v>0</v>
      </c>
      <c r="AC40" s="143">
        <v>0</v>
      </c>
      <c r="AD40" s="17"/>
      <c r="AE40" s="1221" t="s">
        <v>5218</v>
      </c>
      <c r="AF40" s="17"/>
    </row>
    <row r="41" spans="1:32" ht="12.75" customHeight="1" x14ac:dyDescent="0.35">
      <c r="A41" s="156" t="s">
        <v>6219</v>
      </c>
      <c r="B41" s="69"/>
      <c r="C41" s="17"/>
      <c r="D41" s="17"/>
      <c r="E41" s="17"/>
      <c r="F41" s="20" t="s">
        <v>2317</v>
      </c>
      <c r="G41" s="21">
        <f>G40</f>
        <v>6</v>
      </c>
      <c r="H41" s="17"/>
      <c r="I41" s="21" t="s">
        <v>2307</v>
      </c>
      <c r="J41" s="17" t="s">
        <v>2318</v>
      </c>
      <c r="K41" s="21">
        <v>1</v>
      </c>
      <c r="L41" s="47" t="str">
        <f>TRIM(Calculations!C768)</f>
        <v>Other investments</v>
      </c>
      <c r="M41" s="61" t="s">
        <v>2319</v>
      </c>
      <c r="N41" s="21"/>
      <c r="O41" s="21"/>
      <c r="P41" s="17"/>
      <c r="Q41" s="17"/>
      <c r="R41" s="17"/>
      <c r="S41" s="17"/>
      <c r="T41" s="17"/>
      <c r="U41" s="17"/>
      <c r="V41" s="41"/>
      <c r="W41" s="41">
        <v>1</v>
      </c>
      <c r="X41" s="41">
        <f t="shared" ca="1" si="0"/>
        <v>4</v>
      </c>
      <c r="Y41" s="41">
        <v>0</v>
      </c>
      <c r="Z41" s="41">
        <v>0</v>
      </c>
      <c r="AA41" s="41"/>
      <c r="AB41" s="41">
        <v>0</v>
      </c>
      <c r="AC41" s="143">
        <v>0</v>
      </c>
      <c r="AD41" s="17"/>
      <c r="AE41" s="1221" t="s">
        <v>5263</v>
      </c>
      <c r="AF41" s="17"/>
    </row>
    <row r="42" spans="1:32" ht="12.75" customHeight="1" x14ac:dyDescent="0.35">
      <c r="A42" s="156" t="s">
        <v>6221</v>
      </c>
      <c r="B42" s="17"/>
      <c r="C42" s="17"/>
      <c r="D42" s="17"/>
      <c r="E42" s="17"/>
      <c r="F42" s="20" t="s">
        <v>2320</v>
      </c>
      <c r="G42" s="74" t="str">
        <f>RIGHT(INDEX(FinYearsR,PerpetuityIndex),4)</f>
        <v>2024</v>
      </c>
      <c r="H42" s="17"/>
      <c r="I42" s="17" t="s">
        <v>2311</v>
      </c>
      <c r="J42" s="17"/>
      <c r="K42" s="17"/>
      <c r="L42" s="75" t="s">
        <v>2321</v>
      </c>
      <c r="M42" s="17"/>
      <c r="N42" s="17"/>
      <c r="O42" s="17"/>
      <c r="P42" s="17"/>
      <c r="Q42" s="17"/>
      <c r="R42" s="17"/>
      <c r="S42" s="17"/>
      <c r="T42" s="17"/>
      <c r="U42" s="17"/>
      <c r="V42" s="41"/>
      <c r="W42" s="41">
        <v>1</v>
      </c>
      <c r="X42" s="41">
        <f t="shared" ca="1" si="0"/>
        <v>4</v>
      </c>
      <c r="Y42" s="41">
        <v>0</v>
      </c>
      <c r="Z42" s="41">
        <v>0</v>
      </c>
      <c r="AA42" s="41"/>
      <c r="AB42" s="41">
        <v>0</v>
      </c>
      <c r="AC42" s="143">
        <v>0</v>
      </c>
      <c r="AD42" s="17"/>
      <c r="AE42" s="1221" t="s">
        <v>972</v>
      </c>
      <c r="AF42" s="17"/>
    </row>
    <row r="43" spans="1:32" ht="12.75" customHeight="1" x14ac:dyDescent="0.35">
      <c r="A43" s="156" t="s">
        <v>6223</v>
      </c>
      <c r="B43" s="17"/>
      <c r="C43" s="17"/>
      <c r="D43" s="17"/>
      <c r="E43" s="17"/>
      <c r="F43" s="20" t="s">
        <v>2322</v>
      </c>
      <c r="G43" s="21">
        <v>1</v>
      </c>
      <c r="H43" s="17"/>
      <c r="I43" s="35" t="s">
        <v>78</v>
      </c>
      <c r="J43" s="35" t="s">
        <v>2323</v>
      </c>
      <c r="K43" s="21">
        <v>1</v>
      </c>
      <c r="L43" s="75">
        <v>1</v>
      </c>
      <c r="M43" s="76" t="s">
        <v>2324</v>
      </c>
      <c r="N43" s="21">
        <v>1</v>
      </c>
      <c r="O43" s="77" t="s">
        <v>2325</v>
      </c>
      <c r="P43" s="17"/>
      <c r="Q43" s="17"/>
      <c r="R43" s="17"/>
      <c r="S43" s="17"/>
      <c r="T43" s="17"/>
      <c r="U43" s="17"/>
      <c r="V43" s="41"/>
      <c r="W43" s="41">
        <v>1</v>
      </c>
      <c r="X43" s="41">
        <f t="shared" ca="1" si="0"/>
        <v>4</v>
      </c>
      <c r="Y43" s="41">
        <v>0</v>
      </c>
      <c r="Z43" s="41">
        <v>0</v>
      </c>
      <c r="AA43" s="41"/>
      <c r="AB43" s="41">
        <v>0</v>
      </c>
      <c r="AC43" s="143">
        <v>0</v>
      </c>
      <c r="AD43" s="17"/>
      <c r="AE43" s="1221" t="s">
        <v>5290</v>
      </c>
      <c r="AF43" s="17"/>
    </row>
    <row r="44" spans="1:32" ht="12.75" customHeight="1" x14ac:dyDescent="0.35">
      <c r="A44" s="156" t="s">
        <v>6388</v>
      </c>
      <c r="B44" s="17"/>
      <c r="C44" s="17"/>
      <c r="D44" s="17"/>
      <c r="E44" s="17"/>
      <c r="F44" s="20" t="s">
        <v>2326</v>
      </c>
      <c r="G44" s="21">
        <v>1</v>
      </c>
      <c r="H44" s="17"/>
      <c r="I44" s="41" t="s">
        <v>98</v>
      </c>
      <c r="J44" s="41" t="s">
        <v>2327</v>
      </c>
      <c r="K44" s="21">
        <v>2</v>
      </c>
      <c r="L44" s="75">
        <v>2</v>
      </c>
      <c r="M44" s="78" t="s">
        <v>2328</v>
      </c>
      <c r="N44" s="21">
        <v>1</v>
      </c>
      <c r="O44" s="35">
        <f>ROW(Calculations!$E489)</f>
        <v>489</v>
      </c>
      <c r="P44" s="17"/>
      <c r="Q44" s="17"/>
      <c r="R44" s="17"/>
      <c r="S44" s="17"/>
      <c r="T44" s="17"/>
      <c r="U44" s="17"/>
      <c r="V44" s="41"/>
      <c r="W44" s="41">
        <v>1</v>
      </c>
      <c r="X44" s="41">
        <f t="shared" ca="1" si="0"/>
        <v>4</v>
      </c>
      <c r="Y44" s="41">
        <v>0</v>
      </c>
      <c r="Z44" s="41">
        <v>0</v>
      </c>
      <c r="AA44" s="41"/>
      <c r="AB44" s="41">
        <v>0</v>
      </c>
      <c r="AC44" s="143">
        <v>0</v>
      </c>
      <c r="AD44" s="17"/>
      <c r="AE44" s="1221" t="s">
        <v>5292</v>
      </c>
      <c r="AF44" s="17"/>
    </row>
    <row r="45" spans="1:32" ht="12.75" customHeight="1" x14ac:dyDescent="0.35">
      <c r="A45" s="69" t="s">
        <v>6390</v>
      </c>
      <c r="B45" s="17"/>
      <c r="C45" s="17"/>
      <c r="D45" s="17"/>
      <c r="E45" s="17"/>
      <c r="F45" s="20" t="s">
        <v>2329</v>
      </c>
      <c r="G45" s="21"/>
      <c r="H45" s="17"/>
      <c r="I45" s="41" t="s">
        <v>110</v>
      </c>
      <c r="J45" s="41" t="s">
        <v>2330</v>
      </c>
      <c r="K45" s="21">
        <v>3</v>
      </c>
      <c r="L45" s="75">
        <v>3</v>
      </c>
      <c r="M45" s="78" t="s">
        <v>2331</v>
      </c>
      <c r="N45" s="21">
        <v>1</v>
      </c>
      <c r="O45" s="41">
        <f>ROW(Calculations!$E490)</f>
        <v>490</v>
      </c>
      <c r="P45" s="17"/>
      <c r="Q45" s="17"/>
      <c r="R45" s="17"/>
      <c r="S45" s="17"/>
      <c r="T45" s="17"/>
      <c r="U45" s="17"/>
      <c r="V45" s="47"/>
      <c r="W45" s="47">
        <v>1</v>
      </c>
      <c r="X45" s="47">
        <f t="shared" ca="1" si="0"/>
        <v>4</v>
      </c>
      <c r="Y45" s="47">
        <v>0</v>
      </c>
      <c r="Z45" s="47">
        <v>0</v>
      </c>
      <c r="AA45" s="47"/>
      <c r="AB45" s="47">
        <v>0</v>
      </c>
      <c r="AC45" s="144">
        <v>0</v>
      </c>
      <c r="AD45" s="17"/>
      <c r="AE45" s="1221" t="s">
        <v>5294</v>
      </c>
      <c r="AF45" s="17"/>
    </row>
    <row r="46" spans="1:32" ht="12.75" customHeight="1" x14ac:dyDescent="0.35">
      <c r="A46" s="17"/>
      <c r="B46" s="17"/>
      <c r="C46" s="17"/>
      <c r="D46" s="17"/>
      <c r="E46" s="17"/>
      <c r="F46" s="20" t="s">
        <v>2332</v>
      </c>
      <c r="G46" s="21">
        <f>G41</f>
        <v>6</v>
      </c>
      <c r="H46" s="17"/>
      <c r="I46" s="41" t="s">
        <v>129</v>
      </c>
      <c r="J46" s="41" t="s">
        <v>2333</v>
      </c>
      <c r="K46" s="21">
        <v>4</v>
      </c>
      <c r="L46" s="75">
        <v>4</v>
      </c>
      <c r="M46" s="78" t="s">
        <v>2334</v>
      </c>
      <c r="N46" s="21">
        <v>1</v>
      </c>
      <c r="O46" s="41">
        <f>ROW(Calculations!$E495)</f>
        <v>495</v>
      </c>
      <c r="P46" s="17"/>
      <c r="Q46" s="17"/>
      <c r="R46" s="17"/>
      <c r="S46" s="17"/>
      <c r="T46" s="17"/>
      <c r="U46" s="17"/>
      <c r="V46" s="35">
        <f t="shared" ref="V46:AB55" si="1">V16</f>
        <v>0</v>
      </c>
      <c r="W46" s="35">
        <f t="shared" si="1"/>
        <v>2</v>
      </c>
      <c r="X46" s="35">
        <f t="shared" ca="1" si="0"/>
        <v>4</v>
      </c>
      <c r="Y46" s="35">
        <f t="shared" si="1"/>
        <v>0</v>
      </c>
      <c r="Z46" s="35">
        <f t="shared" si="1"/>
        <v>0</v>
      </c>
      <c r="AA46" s="35">
        <f t="shared" si="1"/>
        <v>0</v>
      </c>
      <c r="AB46" s="35">
        <f t="shared" si="1"/>
        <v>0</v>
      </c>
      <c r="AC46" s="145">
        <v>0</v>
      </c>
      <c r="AD46" s="17"/>
      <c r="AE46" s="1221" t="s">
        <v>5296</v>
      </c>
      <c r="AF46" s="17"/>
    </row>
    <row r="47" spans="1:32" ht="12.75" customHeight="1" x14ac:dyDescent="0.35">
      <c r="A47" s="17"/>
      <c r="B47" s="17"/>
      <c r="C47" s="17"/>
      <c r="D47" s="17"/>
      <c r="E47" s="17"/>
      <c r="F47" s="20" t="s">
        <v>2335</v>
      </c>
      <c r="G47" s="74" t="str">
        <f>RIGHT(INDEX(FinYearsR,PerpetuityIndexEquity),4)</f>
        <v>2024</v>
      </c>
      <c r="H47" s="17"/>
      <c r="I47" s="41" t="s">
        <v>150</v>
      </c>
      <c r="J47" s="41" t="s">
        <v>2336</v>
      </c>
      <c r="K47" s="21">
        <v>5</v>
      </c>
      <c r="L47" s="75">
        <v>5</v>
      </c>
      <c r="M47" s="78" t="s">
        <v>2337</v>
      </c>
      <c r="N47" s="21">
        <v>1</v>
      </c>
      <c r="O47" s="41">
        <f>ROW(Calculations!$E496)</f>
        <v>496</v>
      </c>
      <c r="P47" s="17"/>
      <c r="Q47" s="17"/>
      <c r="R47" s="17"/>
      <c r="S47" s="17"/>
      <c r="T47" s="17"/>
      <c r="U47" s="17"/>
      <c r="V47" s="41">
        <f t="shared" si="1"/>
        <v>0</v>
      </c>
      <c r="W47" s="41">
        <f t="shared" si="1"/>
        <v>1</v>
      </c>
      <c r="X47" s="41">
        <f t="shared" ca="1" si="0"/>
        <v>4</v>
      </c>
      <c r="Y47" s="41">
        <f t="shared" si="1"/>
        <v>0</v>
      </c>
      <c r="Z47" s="41">
        <f t="shared" si="1"/>
        <v>0</v>
      </c>
      <c r="AA47" s="41">
        <f t="shared" si="1"/>
        <v>0</v>
      </c>
      <c r="AB47" s="41">
        <f t="shared" si="1"/>
        <v>0</v>
      </c>
      <c r="AC47" s="143">
        <v>0</v>
      </c>
      <c r="AD47" s="17"/>
      <c r="AE47" s="1222" t="s">
        <v>1183</v>
      </c>
      <c r="AF47" s="17"/>
    </row>
    <row r="48" spans="1:32" ht="12.75" customHeight="1" x14ac:dyDescent="0.35">
      <c r="A48" s="17"/>
      <c r="B48" s="17"/>
      <c r="C48" s="17"/>
      <c r="D48" s="17"/>
      <c r="E48" s="17"/>
      <c r="F48" s="20" t="s">
        <v>2338</v>
      </c>
      <c r="G48" s="21">
        <f>G43</f>
        <v>1</v>
      </c>
      <c r="H48" s="17"/>
      <c r="I48" s="41" t="s">
        <v>169</v>
      </c>
      <c r="J48" s="47" t="s">
        <v>2339</v>
      </c>
      <c r="K48" s="21">
        <v>6</v>
      </c>
      <c r="L48" s="75">
        <v>6</v>
      </c>
      <c r="M48" s="80" t="s">
        <v>2340</v>
      </c>
      <c r="N48" s="21">
        <v>1</v>
      </c>
      <c r="O48" s="41">
        <f>ROW(Calculations!$E1019)</f>
        <v>1019</v>
      </c>
      <c r="P48" s="17"/>
      <c r="Q48" s="17"/>
      <c r="R48" s="17"/>
      <c r="S48" s="17"/>
      <c r="T48" s="17"/>
      <c r="U48" s="17"/>
      <c r="V48" s="41">
        <f t="shared" si="1"/>
        <v>0</v>
      </c>
      <c r="W48" s="41">
        <f t="shared" si="1"/>
        <v>1</v>
      </c>
      <c r="X48" s="41">
        <f t="shared" ca="1" si="0"/>
        <v>4</v>
      </c>
      <c r="Y48" s="41">
        <f t="shared" si="1"/>
        <v>0</v>
      </c>
      <c r="Z48" s="41">
        <f t="shared" si="1"/>
        <v>0</v>
      </c>
      <c r="AA48" s="41">
        <f t="shared" si="1"/>
        <v>0</v>
      </c>
      <c r="AB48" s="41">
        <f t="shared" si="1"/>
        <v>0</v>
      </c>
      <c r="AC48" s="143">
        <v>0</v>
      </c>
      <c r="AD48" s="17"/>
      <c r="AE48" s="1222" t="s">
        <v>1184</v>
      </c>
      <c r="AF48" s="17"/>
    </row>
    <row r="49" spans="1:32" ht="12.75" customHeight="1" x14ac:dyDescent="0.35">
      <c r="A49" s="70"/>
      <c r="B49" s="17"/>
      <c r="C49" s="17"/>
      <c r="D49" s="17"/>
      <c r="E49" s="17"/>
      <c r="F49" s="20" t="s">
        <v>2341</v>
      </c>
      <c r="G49" s="21">
        <f>G44</f>
        <v>1</v>
      </c>
      <c r="H49" s="17"/>
      <c r="I49" s="41" t="s">
        <v>188</v>
      </c>
      <c r="J49" s="35" t="s">
        <v>2342</v>
      </c>
      <c r="K49" s="21">
        <v>1</v>
      </c>
      <c r="L49" s="75">
        <v>1</v>
      </c>
      <c r="M49" s="187" t="s">
        <v>5356</v>
      </c>
      <c r="N49" s="170">
        <v>1</v>
      </c>
      <c r="O49" s="41">
        <f>ROW(Calculations!$E1020)</f>
        <v>1020</v>
      </c>
      <c r="P49" s="17"/>
      <c r="Q49" s="17"/>
      <c r="R49" s="17"/>
      <c r="S49" s="17"/>
      <c r="T49" s="17"/>
      <c r="U49" s="17"/>
      <c r="V49" s="41">
        <f t="shared" si="1"/>
        <v>0</v>
      </c>
      <c r="W49" s="41">
        <f t="shared" si="1"/>
        <v>1</v>
      </c>
      <c r="X49" s="41">
        <f t="shared" ca="1" si="0"/>
        <v>4</v>
      </c>
      <c r="Y49" s="41">
        <f t="shared" si="1"/>
        <v>0</v>
      </c>
      <c r="Z49" s="41">
        <f t="shared" si="1"/>
        <v>0</v>
      </c>
      <c r="AA49" s="41">
        <f t="shared" si="1"/>
        <v>0</v>
      </c>
      <c r="AB49" s="41">
        <f t="shared" si="1"/>
        <v>0</v>
      </c>
      <c r="AC49" s="143">
        <v>0</v>
      </c>
      <c r="AD49" s="17"/>
      <c r="AE49" s="1223" t="s">
        <v>1247</v>
      </c>
      <c r="AF49" s="17"/>
    </row>
    <row r="50" spans="1:32" ht="12.75" customHeight="1" x14ac:dyDescent="0.35">
      <c r="A50" s="17"/>
      <c r="B50" s="17"/>
      <c r="C50" s="17"/>
      <c r="D50" s="17"/>
      <c r="E50" s="17"/>
      <c r="F50" s="20" t="s">
        <v>2344</v>
      </c>
      <c r="G50" s="35">
        <v>1</v>
      </c>
      <c r="H50" s="17"/>
      <c r="I50" s="41" t="s">
        <v>207</v>
      </c>
      <c r="J50" s="41" t="s">
        <v>2345</v>
      </c>
      <c r="K50" s="21">
        <v>2</v>
      </c>
      <c r="L50" s="75">
        <v>2</v>
      </c>
      <c r="M50" s="187" t="s">
        <v>5357</v>
      </c>
      <c r="N50" s="170">
        <v>1</v>
      </c>
      <c r="O50" s="41">
        <f>ROW(Calculations!$E848)</f>
        <v>848</v>
      </c>
      <c r="P50" s="17"/>
      <c r="Q50" s="17"/>
      <c r="R50" s="17"/>
      <c r="S50" s="17"/>
      <c r="T50" s="17"/>
      <c r="U50" s="17"/>
      <c r="V50" s="41">
        <f t="shared" si="1"/>
        <v>0</v>
      </c>
      <c r="W50" s="41">
        <f t="shared" si="1"/>
        <v>1</v>
      </c>
      <c r="X50" s="41">
        <f t="shared" ca="1" si="0"/>
        <v>4</v>
      </c>
      <c r="Y50" s="41">
        <f t="shared" si="1"/>
        <v>0</v>
      </c>
      <c r="Z50" s="41">
        <f t="shared" si="1"/>
        <v>0</v>
      </c>
      <c r="AA50" s="41">
        <f t="shared" si="1"/>
        <v>0</v>
      </c>
      <c r="AB50" s="41">
        <f t="shared" si="1"/>
        <v>0</v>
      </c>
      <c r="AC50" s="143">
        <v>0</v>
      </c>
      <c r="AD50" s="17"/>
      <c r="AE50" s="17"/>
      <c r="AF50" s="17"/>
    </row>
    <row r="51" spans="1:32" ht="12.75" customHeight="1" x14ac:dyDescent="0.35">
      <c r="A51" s="17"/>
      <c r="B51" s="17"/>
      <c r="C51" s="17"/>
      <c r="D51" s="17"/>
      <c r="E51" s="17"/>
      <c r="F51" s="20" t="s">
        <v>2347</v>
      </c>
      <c r="G51" s="21">
        <v>0</v>
      </c>
      <c r="H51" s="17"/>
      <c r="I51" s="41" t="s">
        <v>226</v>
      </c>
      <c r="J51" s="41" t="s">
        <v>2348</v>
      </c>
      <c r="K51" s="21">
        <v>3</v>
      </c>
      <c r="L51" s="75">
        <v>3</v>
      </c>
      <c r="M51" s="187" t="s">
        <v>5358</v>
      </c>
      <c r="N51" s="170">
        <v>1</v>
      </c>
      <c r="O51" s="41">
        <f>ROW(Calculations!$E849)</f>
        <v>849</v>
      </c>
      <c r="P51" s="17"/>
      <c r="Q51" s="17"/>
      <c r="R51" s="17"/>
      <c r="S51" s="17"/>
      <c r="T51" s="17"/>
      <c r="U51" s="17"/>
      <c r="V51" s="41">
        <f t="shared" ref="V51:W54" si="2">V21</f>
        <v>0</v>
      </c>
      <c r="W51" s="41">
        <f t="shared" si="2"/>
        <v>1</v>
      </c>
      <c r="X51" s="41">
        <f t="shared" ca="1" si="0"/>
        <v>4</v>
      </c>
      <c r="Y51" s="41">
        <f t="shared" ref="Y51:AB54" si="3">Y21</f>
        <v>0</v>
      </c>
      <c r="Z51" s="41">
        <f t="shared" si="3"/>
        <v>0</v>
      </c>
      <c r="AA51" s="41">
        <f t="shared" si="3"/>
        <v>0</v>
      </c>
      <c r="AB51" s="41">
        <f t="shared" si="3"/>
        <v>0</v>
      </c>
      <c r="AC51" s="143">
        <v>0</v>
      </c>
      <c r="AD51" s="17"/>
      <c r="AE51" s="17"/>
      <c r="AF51" s="17"/>
    </row>
    <row r="52" spans="1:32" ht="12.75" customHeight="1" x14ac:dyDescent="0.35">
      <c r="A52" s="70"/>
      <c r="B52" s="17"/>
      <c r="C52" s="17"/>
      <c r="D52" s="17"/>
      <c r="E52" s="17"/>
      <c r="F52" s="20" t="s">
        <v>2350</v>
      </c>
      <c r="G52" s="21">
        <v>0</v>
      </c>
      <c r="H52" s="17"/>
      <c r="I52" s="41" t="s">
        <v>247</v>
      </c>
      <c r="J52" s="41" t="s">
        <v>2351</v>
      </c>
      <c r="K52" s="21">
        <v>4</v>
      </c>
      <c r="L52" s="75">
        <v>4</v>
      </c>
      <c r="M52" s="187" t="s">
        <v>5359</v>
      </c>
      <c r="N52" s="170">
        <v>1</v>
      </c>
      <c r="O52" s="41">
        <f>ROW(Calculations!$E850)</f>
        <v>850</v>
      </c>
      <c r="P52" s="17"/>
      <c r="Q52" s="17"/>
      <c r="R52" s="17"/>
      <c r="S52" s="17"/>
      <c r="T52" s="17"/>
      <c r="U52" s="17"/>
      <c r="V52" s="41">
        <f t="shared" si="2"/>
        <v>0</v>
      </c>
      <c r="W52" s="41">
        <f t="shared" si="2"/>
        <v>1</v>
      </c>
      <c r="X52" s="41">
        <f t="shared" ca="1" si="0"/>
        <v>4</v>
      </c>
      <c r="Y52" s="41">
        <f t="shared" si="3"/>
        <v>0</v>
      </c>
      <c r="Z52" s="41">
        <f t="shared" si="3"/>
        <v>0</v>
      </c>
      <c r="AA52" s="41">
        <f t="shared" si="3"/>
        <v>0</v>
      </c>
      <c r="AB52" s="41">
        <f t="shared" si="3"/>
        <v>0</v>
      </c>
      <c r="AC52" s="143">
        <v>0</v>
      </c>
      <c r="AD52" s="17"/>
      <c r="AE52" s="17"/>
      <c r="AF52" s="17"/>
    </row>
    <row r="53" spans="1:32" ht="12.75" customHeight="1" x14ac:dyDescent="0.35">
      <c r="A53" s="17"/>
      <c r="B53" s="17"/>
      <c r="C53" s="17"/>
      <c r="D53" s="17"/>
      <c r="E53" s="17"/>
      <c r="F53" s="20" t="s">
        <v>2353</v>
      </c>
      <c r="G53" s="21">
        <v>0</v>
      </c>
      <c r="H53" s="17"/>
      <c r="I53" s="41" t="s">
        <v>266</v>
      </c>
      <c r="J53" s="41" t="s">
        <v>2354</v>
      </c>
      <c r="K53" s="21">
        <v>5</v>
      </c>
      <c r="L53" s="75">
        <v>5</v>
      </c>
      <c r="M53" s="188" t="s">
        <v>5360</v>
      </c>
      <c r="N53" s="170">
        <v>1</v>
      </c>
      <c r="O53" s="41">
        <f>ROW(Calculations!$E851)</f>
        <v>851</v>
      </c>
      <c r="P53" s="17"/>
      <c r="Q53" s="17"/>
      <c r="R53" s="17"/>
      <c r="S53" s="17"/>
      <c r="T53" s="17"/>
      <c r="U53" s="17"/>
      <c r="V53" s="41">
        <f t="shared" si="2"/>
        <v>0</v>
      </c>
      <c r="W53" s="41">
        <f t="shared" si="2"/>
        <v>1</v>
      </c>
      <c r="X53" s="41">
        <f t="shared" ca="1" si="0"/>
        <v>4</v>
      </c>
      <c r="Y53" s="41">
        <f t="shared" si="3"/>
        <v>0</v>
      </c>
      <c r="Z53" s="41">
        <f t="shared" si="3"/>
        <v>0</v>
      </c>
      <c r="AA53" s="41">
        <f t="shared" si="3"/>
        <v>0</v>
      </c>
      <c r="AB53" s="41">
        <f t="shared" si="3"/>
        <v>0</v>
      </c>
      <c r="AC53" s="143">
        <v>0</v>
      </c>
      <c r="AD53" s="17"/>
      <c r="AE53" s="17"/>
      <c r="AF53" s="17"/>
    </row>
    <row r="54" spans="1:32" ht="12.75" customHeight="1" x14ac:dyDescent="0.35">
      <c r="A54" s="17"/>
      <c r="B54" s="17"/>
      <c r="C54" s="17"/>
      <c r="D54" s="17"/>
      <c r="E54" s="17"/>
      <c r="F54" s="20" t="s">
        <v>2356</v>
      </c>
      <c r="G54" s="21">
        <v>0</v>
      </c>
      <c r="H54" s="17"/>
      <c r="I54" s="41" t="s">
        <v>285</v>
      </c>
      <c r="J54" s="47" t="s">
        <v>2357</v>
      </c>
      <c r="K54" s="21">
        <v>6</v>
      </c>
      <c r="L54" s="75">
        <v>6</v>
      </c>
      <c r="M54" s="79" t="s">
        <v>2343</v>
      </c>
      <c r="N54" s="21" t="str">
        <f>INDEX(FinYearsR,FinYearRIndex01)</f>
        <v>12/2019</v>
      </c>
      <c r="O54" s="41">
        <f>ROW(Calculations!$E852)</f>
        <v>852</v>
      </c>
      <c r="P54" s="17"/>
      <c r="Q54" s="17"/>
      <c r="R54" s="17"/>
      <c r="S54" s="17"/>
      <c r="T54" s="17"/>
      <c r="U54" s="17"/>
      <c r="V54" s="41">
        <f t="shared" si="2"/>
        <v>0</v>
      </c>
      <c r="W54" s="41">
        <f t="shared" si="2"/>
        <v>1</v>
      </c>
      <c r="X54" s="41">
        <f t="shared" ca="1" si="0"/>
        <v>4</v>
      </c>
      <c r="Y54" s="41">
        <f t="shared" si="3"/>
        <v>0</v>
      </c>
      <c r="Z54" s="41">
        <f t="shared" si="3"/>
        <v>0</v>
      </c>
      <c r="AA54" s="41">
        <f t="shared" si="3"/>
        <v>0</v>
      </c>
      <c r="AB54" s="41">
        <f t="shared" si="3"/>
        <v>0</v>
      </c>
      <c r="AC54" s="143">
        <v>0</v>
      </c>
      <c r="AD54" s="17"/>
      <c r="AE54" s="17"/>
      <c r="AF54" s="17"/>
    </row>
    <row r="55" spans="1:32" ht="12.75" customHeight="1" x14ac:dyDescent="0.35">
      <c r="A55" s="17"/>
      <c r="B55" s="17"/>
      <c r="C55" s="17"/>
      <c r="D55" s="17"/>
      <c r="E55" s="17"/>
      <c r="F55" s="20" t="s">
        <v>2359</v>
      </c>
      <c r="G55" s="21">
        <v>0</v>
      </c>
      <c r="H55" s="17"/>
      <c r="I55" s="41" t="s">
        <v>304</v>
      </c>
      <c r="J55" s="35" t="s">
        <v>2360</v>
      </c>
      <c r="K55" s="21">
        <v>1</v>
      </c>
      <c r="L55" s="75">
        <v>1</v>
      </c>
      <c r="M55" s="80" t="s">
        <v>2346</v>
      </c>
      <c r="N55" s="21" t="str">
        <f>INDEX(FinYearsR,FinYearRIndex02)</f>
        <v>12/2019</v>
      </c>
      <c r="O55" s="41">
        <f>ROW(Calculations!$E853)</f>
        <v>853</v>
      </c>
      <c r="P55" s="17"/>
      <c r="Q55" s="17"/>
      <c r="R55" s="17"/>
      <c r="S55" s="17"/>
      <c r="T55" s="17"/>
      <c r="U55" s="17"/>
      <c r="V55" s="41">
        <f t="shared" si="1"/>
        <v>0</v>
      </c>
      <c r="W55" s="41">
        <f t="shared" si="1"/>
        <v>1</v>
      </c>
      <c r="X55" s="41">
        <f t="shared" ca="1" si="0"/>
        <v>4</v>
      </c>
      <c r="Y55" s="41">
        <f t="shared" si="1"/>
        <v>0</v>
      </c>
      <c r="Z55" s="41">
        <f t="shared" si="1"/>
        <v>0</v>
      </c>
      <c r="AA55" s="41">
        <f t="shared" si="1"/>
        <v>0</v>
      </c>
      <c r="AB55" s="41">
        <f t="shared" si="1"/>
        <v>0</v>
      </c>
      <c r="AC55" s="143">
        <v>0</v>
      </c>
      <c r="AD55" s="17"/>
      <c r="AE55" s="17"/>
      <c r="AF55" s="17"/>
    </row>
    <row r="56" spans="1:32" ht="12.75" customHeight="1" x14ac:dyDescent="0.35">
      <c r="A56" s="17"/>
      <c r="B56" s="17"/>
      <c r="C56" s="17"/>
      <c r="D56" s="17"/>
      <c r="E56" s="17"/>
      <c r="F56" s="20" t="s">
        <v>2362</v>
      </c>
      <c r="G56" s="21">
        <v>0</v>
      </c>
      <c r="H56" s="17"/>
      <c r="I56" s="41" t="s">
        <v>323</v>
      </c>
      <c r="J56" s="41" t="s">
        <v>2363</v>
      </c>
      <c r="K56" s="21">
        <v>2</v>
      </c>
      <c r="L56" s="75">
        <v>2</v>
      </c>
      <c r="M56" s="80" t="s">
        <v>2349</v>
      </c>
      <c r="N56" s="21" t="str">
        <f>INDEX(FinYearsR,FinYearRIndex03)</f>
        <v>12/2019</v>
      </c>
      <c r="O56" s="41">
        <f>ROW(Calculations!$E854)</f>
        <v>854</v>
      </c>
      <c r="P56" s="17"/>
      <c r="Q56" s="17"/>
      <c r="R56" s="17"/>
      <c r="S56" s="17"/>
      <c r="T56" s="17"/>
      <c r="U56" s="17"/>
      <c r="V56" s="41">
        <f t="shared" ref="V56:AB65" si="4">V26</f>
        <v>0</v>
      </c>
      <c r="W56" s="41">
        <f t="shared" si="4"/>
        <v>1</v>
      </c>
      <c r="X56" s="41">
        <f t="shared" ca="1" si="0"/>
        <v>4</v>
      </c>
      <c r="Y56" s="41">
        <f t="shared" si="4"/>
        <v>0</v>
      </c>
      <c r="Z56" s="41">
        <f t="shared" si="4"/>
        <v>0</v>
      </c>
      <c r="AA56" s="41">
        <f t="shared" si="4"/>
        <v>0</v>
      </c>
      <c r="AB56" s="41">
        <f t="shared" si="4"/>
        <v>0</v>
      </c>
      <c r="AC56" s="143">
        <v>0</v>
      </c>
      <c r="AD56" s="17"/>
      <c r="AE56" s="17"/>
      <c r="AF56" s="17"/>
    </row>
    <row r="57" spans="1:32" ht="12.75" customHeight="1" x14ac:dyDescent="0.35">
      <c r="A57" s="17"/>
      <c r="B57" s="17"/>
      <c r="C57" s="17"/>
      <c r="D57" s="17"/>
      <c r="E57" s="17"/>
      <c r="F57" s="20" t="s">
        <v>2365</v>
      </c>
      <c r="G57" s="21">
        <v>0</v>
      </c>
      <c r="H57" s="17"/>
      <c r="I57" s="41" t="s">
        <v>342</v>
      </c>
      <c r="J57" s="41" t="s">
        <v>2366</v>
      </c>
      <c r="K57" s="21">
        <v>3</v>
      </c>
      <c r="L57" s="75">
        <v>3</v>
      </c>
      <c r="M57" s="80" t="s">
        <v>2352</v>
      </c>
      <c r="N57" s="21" t="str">
        <f>INDEX(FinYearsR,FinYearRIndex04)</f>
        <v>12/2019</v>
      </c>
      <c r="O57" s="41">
        <f>ROW(Calculations!$E855)</f>
        <v>855</v>
      </c>
      <c r="P57" s="17"/>
      <c r="Q57" s="17"/>
      <c r="R57" s="17"/>
      <c r="S57" s="17"/>
      <c r="T57" s="17"/>
      <c r="U57" s="17"/>
      <c r="V57" s="41">
        <f t="shared" si="4"/>
        <v>0</v>
      </c>
      <c r="W57" s="41">
        <f t="shared" si="4"/>
        <v>1</v>
      </c>
      <c r="X57" s="41">
        <f t="shared" ca="1" si="0"/>
        <v>4</v>
      </c>
      <c r="Y57" s="41">
        <f t="shared" si="4"/>
        <v>0</v>
      </c>
      <c r="Z57" s="41">
        <f t="shared" si="4"/>
        <v>0</v>
      </c>
      <c r="AA57" s="41">
        <f t="shared" si="4"/>
        <v>0</v>
      </c>
      <c r="AB57" s="41">
        <f t="shared" si="4"/>
        <v>0</v>
      </c>
      <c r="AC57" s="143">
        <v>0</v>
      </c>
      <c r="AD57" s="17"/>
      <c r="AE57" s="17"/>
      <c r="AF57" s="17"/>
    </row>
    <row r="58" spans="1:32" ht="12.75" customHeight="1" x14ac:dyDescent="0.35">
      <c r="A58" s="17"/>
      <c r="B58" s="17"/>
      <c r="C58" s="17"/>
      <c r="D58" s="17"/>
      <c r="E58" s="17"/>
      <c r="F58" s="161" t="s">
        <v>2368</v>
      </c>
      <c r="G58" s="127">
        <v>0</v>
      </c>
      <c r="H58" s="17"/>
      <c r="I58" s="41" t="s">
        <v>361</v>
      </c>
      <c r="J58" s="41" t="s">
        <v>2369</v>
      </c>
      <c r="K58" s="21">
        <v>4</v>
      </c>
      <c r="L58" s="75">
        <v>4</v>
      </c>
      <c r="M58" s="80" t="s">
        <v>2355</v>
      </c>
      <c r="N58" s="21" t="str">
        <f>INDEX(FinYearsR,FinYearRIndex05)</f>
        <v>12/2019</v>
      </c>
      <c r="O58" s="41">
        <f>ROW(Calculations!$E856)</f>
        <v>856</v>
      </c>
      <c r="P58" s="17"/>
      <c r="Q58" s="17"/>
      <c r="R58" s="17"/>
      <c r="S58" s="17"/>
      <c r="T58" s="17"/>
      <c r="U58" s="17"/>
      <c r="V58" s="41">
        <f t="shared" si="4"/>
        <v>0</v>
      </c>
      <c r="W58" s="41">
        <f t="shared" si="4"/>
        <v>1</v>
      </c>
      <c r="X58" s="41">
        <f t="shared" ca="1" si="0"/>
        <v>4</v>
      </c>
      <c r="Y58" s="41">
        <f t="shared" si="4"/>
        <v>0</v>
      </c>
      <c r="Z58" s="41">
        <f t="shared" si="4"/>
        <v>0</v>
      </c>
      <c r="AA58" s="41">
        <f t="shared" si="4"/>
        <v>0</v>
      </c>
      <c r="AB58" s="41">
        <f t="shared" si="4"/>
        <v>0</v>
      </c>
      <c r="AC58" s="143">
        <v>0</v>
      </c>
      <c r="AD58" s="17"/>
      <c r="AE58" s="17"/>
      <c r="AF58" s="17"/>
    </row>
    <row r="59" spans="1:32" ht="12.75" customHeight="1" x14ac:dyDescent="0.35">
      <c r="A59" s="17"/>
      <c r="B59" s="17"/>
      <c r="C59" s="17"/>
      <c r="D59" s="17"/>
      <c r="E59" s="17"/>
      <c r="F59" s="162" t="s">
        <v>2371</v>
      </c>
      <c r="G59" s="81" t="s">
        <v>2372</v>
      </c>
      <c r="H59" s="17"/>
      <c r="I59" s="41" t="s">
        <v>380</v>
      </c>
      <c r="J59" s="41" t="s">
        <v>2373</v>
      </c>
      <c r="K59" s="21">
        <v>5</v>
      </c>
      <c r="L59" s="75">
        <v>5</v>
      </c>
      <c r="M59" s="80" t="s">
        <v>2358</v>
      </c>
      <c r="N59" s="21" t="str">
        <f t="shared" ref="N59" si="5">INDEX(FinYearsR,FinYearRIndex06)</f>
        <v>12/2019</v>
      </c>
      <c r="O59" s="41">
        <f>ROW(Calculations!$E857)</f>
        <v>857</v>
      </c>
      <c r="P59" s="17"/>
      <c r="Q59" s="17"/>
      <c r="R59" s="17"/>
      <c r="S59" s="17"/>
      <c r="T59" s="17"/>
      <c r="U59" s="17"/>
      <c r="V59" s="41">
        <f t="shared" si="4"/>
        <v>0</v>
      </c>
      <c r="W59" s="41">
        <f t="shared" si="4"/>
        <v>1</v>
      </c>
      <c r="X59" s="41">
        <f t="shared" ca="1" si="0"/>
        <v>4</v>
      </c>
      <c r="Y59" s="41">
        <f t="shared" si="4"/>
        <v>0</v>
      </c>
      <c r="Z59" s="41">
        <f t="shared" si="4"/>
        <v>0</v>
      </c>
      <c r="AA59" s="41">
        <f t="shared" si="4"/>
        <v>0</v>
      </c>
      <c r="AB59" s="41">
        <f t="shared" si="4"/>
        <v>0</v>
      </c>
      <c r="AC59" s="143">
        <v>0</v>
      </c>
      <c r="AD59" s="17"/>
      <c r="AE59" s="17"/>
      <c r="AF59" s="17"/>
    </row>
    <row r="60" spans="1:32" ht="12.75" customHeight="1" x14ac:dyDescent="0.35">
      <c r="A60" s="17"/>
      <c r="B60" s="17"/>
      <c r="C60" s="17"/>
      <c r="D60" s="17"/>
      <c r="E60" s="17"/>
      <c r="F60" s="162" t="s">
        <v>2375</v>
      </c>
      <c r="G60" s="82" t="s">
        <v>2372</v>
      </c>
      <c r="H60" s="17"/>
      <c r="I60" s="41" t="s">
        <v>399</v>
      </c>
      <c r="J60" s="47" t="s">
        <v>2376</v>
      </c>
      <c r="K60" s="21">
        <v>6</v>
      </c>
      <c r="L60" s="75">
        <v>6</v>
      </c>
      <c r="M60" s="187" t="s">
        <v>5361</v>
      </c>
      <c r="N60" s="170" t="str">
        <f>INDEX(FinYearsR,FinYearRIndex07)</f>
        <v>12/2019</v>
      </c>
      <c r="O60" s="41">
        <f>ROW(Calculations!$E858)</f>
        <v>858</v>
      </c>
      <c r="P60" s="17"/>
      <c r="Q60" s="17"/>
      <c r="R60" s="17"/>
      <c r="S60" s="17"/>
      <c r="T60" s="17"/>
      <c r="U60" s="17"/>
      <c r="V60" s="41">
        <f t="shared" si="4"/>
        <v>0</v>
      </c>
      <c r="W60" s="41">
        <f t="shared" si="4"/>
        <v>1</v>
      </c>
      <c r="X60" s="41">
        <f t="shared" ca="1" si="0"/>
        <v>4</v>
      </c>
      <c r="Y60" s="41">
        <f t="shared" si="4"/>
        <v>0</v>
      </c>
      <c r="Z60" s="41">
        <f t="shared" si="4"/>
        <v>0</v>
      </c>
      <c r="AA60" s="41">
        <f t="shared" si="4"/>
        <v>0</v>
      </c>
      <c r="AB60" s="41">
        <f t="shared" si="4"/>
        <v>0</v>
      </c>
      <c r="AC60" s="143">
        <v>0</v>
      </c>
      <c r="AD60" s="17"/>
      <c r="AE60" s="17"/>
      <c r="AF60" s="17"/>
    </row>
    <row r="61" spans="1:32" ht="12.75" customHeight="1" x14ac:dyDescent="0.35">
      <c r="A61" s="70"/>
      <c r="B61" s="17"/>
      <c r="C61" s="17"/>
      <c r="D61" s="17"/>
      <c r="E61" s="17"/>
      <c r="F61" s="162" t="s">
        <v>2378</v>
      </c>
      <c r="G61" s="82" t="s">
        <v>2372</v>
      </c>
      <c r="H61" s="17"/>
      <c r="I61" s="41" t="s">
        <v>418</v>
      </c>
      <c r="J61" s="35" t="s">
        <v>2379</v>
      </c>
      <c r="K61" s="21">
        <v>1</v>
      </c>
      <c r="L61" s="75">
        <v>1</v>
      </c>
      <c r="M61" s="187" t="s">
        <v>5362</v>
      </c>
      <c r="N61" s="170" t="str">
        <f>INDEX(FinYearsR,FinYearRIndex08)</f>
        <v>12/2019</v>
      </c>
      <c r="O61" s="41">
        <f>ROW(Calculations!$E859)</f>
        <v>859</v>
      </c>
      <c r="P61" s="17"/>
      <c r="Q61" s="17"/>
      <c r="R61" s="17"/>
      <c r="S61" s="17"/>
      <c r="T61" s="17"/>
      <c r="U61" s="17"/>
      <c r="V61" s="41">
        <f t="shared" si="4"/>
        <v>0</v>
      </c>
      <c r="W61" s="41">
        <f t="shared" si="4"/>
        <v>1</v>
      </c>
      <c r="X61" s="41">
        <f t="shared" ca="1" si="0"/>
        <v>4</v>
      </c>
      <c r="Y61" s="41">
        <f t="shared" si="4"/>
        <v>0</v>
      </c>
      <c r="Z61" s="41">
        <f t="shared" si="4"/>
        <v>0</v>
      </c>
      <c r="AA61" s="41">
        <f t="shared" si="4"/>
        <v>0</v>
      </c>
      <c r="AB61" s="41">
        <f t="shared" si="4"/>
        <v>0</v>
      </c>
      <c r="AC61" s="143">
        <v>0</v>
      </c>
      <c r="AD61" s="17"/>
      <c r="AE61" s="17"/>
      <c r="AF61" s="17"/>
    </row>
    <row r="62" spans="1:32" ht="12.75" customHeight="1" x14ac:dyDescent="0.35">
      <c r="A62" s="17"/>
      <c r="B62" s="17"/>
      <c r="C62" s="17"/>
      <c r="D62" s="17"/>
      <c r="E62" s="17"/>
      <c r="F62" s="162" t="s">
        <v>2380</v>
      </c>
      <c r="G62" s="82" t="s">
        <v>2372</v>
      </c>
      <c r="H62" s="17"/>
      <c r="I62" s="41" t="s">
        <v>437</v>
      </c>
      <c r="J62" s="41" t="s">
        <v>2381</v>
      </c>
      <c r="K62" s="21">
        <v>2</v>
      </c>
      <c r="L62" s="75">
        <v>2</v>
      </c>
      <c r="M62" s="187" t="s">
        <v>5363</v>
      </c>
      <c r="N62" s="170" t="str">
        <f>INDEX(FinYearsR,FinYearRIndex09)</f>
        <v>12/2019</v>
      </c>
      <c r="O62" s="41">
        <f>ROW(Calculations!$E860)</f>
        <v>860</v>
      </c>
      <c r="P62" s="17"/>
      <c r="Q62" s="17"/>
      <c r="R62" s="17"/>
      <c r="S62" s="17"/>
      <c r="T62" s="17"/>
      <c r="U62" s="17"/>
      <c r="V62" s="41">
        <f t="shared" si="4"/>
        <v>0</v>
      </c>
      <c r="W62" s="41">
        <f t="shared" si="4"/>
        <v>1</v>
      </c>
      <c r="X62" s="41">
        <f t="shared" ca="1" si="0"/>
        <v>4</v>
      </c>
      <c r="Y62" s="41">
        <f t="shared" si="4"/>
        <v>0</v>
      </c>
      <c r="Z62" s="41">
        <f t="shared" si="4"/>
        <v>0</v>
      </c>
      <c r="AA62" s="41">
        <f t="shared" si="4"/>
        <v>0</v>
      </c>
      <c r="AB62" s="41">
        <f t="shared" si="4"/>
        <v>0</v>
      </c>
      <c r="AC62" s="143">
        <v>0</v>
      </c>
      <c r="AD62" s="17"/>
      <c r="AE62" s="17"/>
      <c r="AF62" s="17"/>
    </row>
    <row r="63" spans="1:32" ht="12.75" customHeight="1" x14ac:dyDescent="0.35">
      <c r="A63" s="17"/>
      <c r="B63" s="17"/>
      <c r="C63" s="17"/>
      <c r="D63" s="17"/>
      <c r="E63" s="17"/>
      <c r="F63" s="162" t="s">
        <v>2382</v>
      </c>
      <c r="G63" s="82" t="s">
        <v>2372</v>
      </c>
      <c r="H63" s="17"/>
      <c r="I63" s="41" t="s">
        <v>456</v>
      </c>
      <c r="J63" s="41" t="s">
        <v>2383</v>
      </c>
      <c r="K63" s="21">
        <v>3</v>
      </c>
      <c r="L63" s="75">
        <v>3</v>
      </c>
      <c r="M63" s="187" t="s">
        <v>5364</v>
      </c>
      <c r="N63" s="170" t="str">
        <f>INDEX(FinYearsR,FinYearRIndex10)</f>
        <v>12/2019</v>
      </c>
      <c r="O63" s="41">
        <f>ROW(Calculations!$E861)</f>
        <v>861</v>
      </c>
      <c r="P63" s="17"/>
      <c r="Q63" s="17"/>
      <c r="R63" s="17"/>
      <c r="S63" s="17"/>
      <c r="T63" s="17"/>
      <c r="U63" s="17"/>
      <c r="V63" s="41">
        <f t="shared" si="4"/>
        <v>0</v>
      </c>
      <c r="W63" s="41">
        <f t="shared" si="4"/>
        <v>1</v>
      </c>
      <c r="X63" s="41">
        <f t="shared" ca="1" si="0"/>
        <v>4</v>
      </c>
      <c r="Y63" s="41">
        <f t="shared" si="4"/>
        <v>0</v>
      </c>
      <c r="Z63" s="41">
        <f t="shared" si="4"/>
        <v>0</v>
      </c>
      <c r="AA63" s="41">
        <f t="shared" si="4"/>
        <v>0</v>
      </c>
      <c r="AB63" s="41">
        <f t="shared" si="4"/>
        <v>0</v>
      </c>
      <c r="AC63" s="143">
        <v>0</v>
      </c>
      <c r="AD63" s="17"/>
      <c r="AE63" s="17"/>
      <c r="AF63" s="17"/>
    </row>
    <row r="64" spans="1:32" ht="12.75" customHeight="1" x14ac:dyDescent="0.35">
      <c r="A64" s="70"/>
      <c r="B64" s="17"/>
      <c r="C64" s="17"/>
      <c r="D64" s="17"/>
      <c r="E64" s="17"/>
      <c r="F64" s="162" t="s">
        <v>2384</v>
      </c>
      <c r="G64" s="82" t="s">
        <v>2372</v>
      </c>
      <c r="H64" s="17"/>
      <c r="I64" s="41" t="s">
        <v>475</v>
      </c>
      <c r="J64" s="41" t="s">
        <v>2385</v>
      </c>
      <c r="K64" s="21">
        <v>4</v>
      </c>
      <c r="L64" s="75">
        <v>4</v>
      </c>
      <c r="M64" s="189" t="s">
        <v>5365</v>
      </c>
      <c r="N64" s="170" t="str">
        <f>INDEX(FinYearsR,FinYearRIndex11)</f>
        <v>12/2019</v>
      </c>
      <c r="O64" s="41">
        <f>ROW(Calculations!$E862)</f>
        <v>862</v>
      </c>
      <c r="P64" s="17"/>
      <c r="Q64" s="17"/>
      <c r="R64" s="17"/>
      <c r="S64" s="17"/>
      <c r="T64" s="17"/>
      <c r="U64" s="17"/>
      <c r="V64" s="41">
        <f t="shared" si="4"/>
        <v>0</v>
      </c>
      <c r="W64" s="41">
        <f t="shared" si="4"/>
        <v>1</v>
      </c>
      <c r="X64" s="41">
        <f t="shared" ca="1" si="0"/>
        <v>4</v>
      </c>
      <c r="Y64" s="41">
        <f t="shared" si="4"/>
        <v>0</v>
      </c>
      <c r="Z64" s="41">
        <f t="shared" si="4"/>
        <v>0</v>
      </c>
      <c r="AA64" s="41">
        <f t="shared" si="4"/>
        <v>0</v>
      </c>
      <c r="AB64" s="41">
        <f t="shared" si="4"/>
        <v>0</v>
      </c>
      <c r="AC64" s="143">
        <v>0</v>
      </c>
      <c r="AD64" s="17"/>
      <c r="AE64" s="17"/>
      <c r="AF64" s="17"/>
    </row>
    <row r="65" spans="1:32" ht="12.75" customHeight="1" x14ac:dyDescent="0.35">
      <c r="A65" s="17"/>
      <c r="B65" s="17"/>
      <c r="C65" s="17"/>
      <c r="D65" s="17"/>
      <c r="E65" s="17"/>
      <c r="F65" s="20" t="s">
        <v>2386</v>
      </c>
      <c r="G65" s="21"/>
      <c r="H65" s="17"/>
      <c r="I65" s="41" t="s">
        <v>494</v>
      </c>
      <c r="J65" s="41" t="s">
        <v>2387</v>
      </c>
      <c r="K65" s="21">
        <v>5</v>
      </c>
      <c r="L65" s="75">
        <v>5</v>
      </c>
      <c r="M65" s="76" t="s">
        <v>2361</v>
      </c>
      <c r="N65" s="21">
        <f>IF(ISNA(MATCH(FinYearR01,ColHeadersR,0)),IF(ISNA(C2),IF(ISNA(C3),IF(ISNA(C4),IF(ISNA(C5),C6,C5),C4),C3),C2),MATCH(FinYearR01,ColHeadersR,0))+C1</f>
        <v>11</v>
      </c>
      <c r="O65" s="41">
        <f>ROW(Calculations!$E863)</f>
        <v>863</v>
      </c>
      <c r="P65" s="17"/>
      <c r="Q65" s="17"/>
      <c r="R65" s="17"/>
      <c r="S65" s="17"/>
      <c r="T65" s="17"/>
      <c r="U65" s="17"/>
      <c r="V65" s="41">
        <f t="shared" si="4"/>
        <v>0</v>
      </c>
      <c r="W65" s="41">
        <f t="shared" si="4"/>
        <v>1</v>
      </c>
      <c r="X65" s="41">
        <f t="shared" ca="1" si="0"/>
        <v>4</v>
      </c>
      <c r="Y65" s="41">
        <f t="shared" si="4"/>
        <v>0</v>
      </c>
      <c r="Z65" s="41">
        <f t="shared" si="4"/>
        <v>0</v>
      </c>
      <c r="AA65" s="41">
        <f t="shared" si="4"/>
        <v>0</v>
      </c>
      <c r="AB65" s="41">
        <f t="shared" si="4"/>
        <v>0</v>
      </c>
      <c r="AC65" s="143">
        <v>0</v>
      </c>
      <c r="AD65" s="17"/>
      <c r="AE65" s="17"/>
      <c r="AF65" s="17"/>
    </row>
    <row r="66" spans="1:32" ht="12.75" customHeight="1" x14ac:dyDescent="0.35">
      <c r="A66" s="17"/>
      <c r="B66" s="17"/>
      <c r="C66" s="17"/>
      <c r="D66" s="17"/>
      <c r="E66" s="17"/>
      <c r="F66" s="20" t="s">
        <v>2388</v>
      </c>
      <c r="G66" s="21"/>
      <c r="H66" s="17"/>
      <c r="I66" s="41" t="s">
        <v>513</v>
      </c>
      <c r="J66" s="47" t="s">
        <v>2389</v>
      </c>
      <c r="K66" s="21">
        <v>6</v>
      </c>
      <c r="L66" s="75">
        <v>6</v>
      </c>
      <c r="M66" s="78" t="s">
        <v>2364</v>
      </c>
      <c r="N66" s="21">
        <f>IF(ISNA(MATCH(FinYearR02,ColHeadersR,0)),IF(ISNA(C2),IF(ISNA(C3),IF(ISNA(C4),IF(ISNA(C5),C6,C5),C4),C3),C2),MATCH(FinYearR02,ColHeadersR,0))+C1</f>
        <v>11</v>
      </c>
      <c r="O66" s="41">
        <f>ROW(Calculations!$E864)</f>
        <v>864</v>
      </c>
      <c r="P66" s="17"/>
      <c r="Q66" s="17"/>
      <c r="R66" s="17"/>
      <c r="S66" s="17"/>
      <c r="T66" s="17"/>
      <c r="U66" s="17"/>
      <c r="V66" s="41">
        <f t="shared" ref="V66:AB75" si="6">V36</f>
        <v>0</v>
      </c>
      <c r="W66" s="41">
        <f t="shared" si="6"/>
        <v>1</v>
      </c>
      <c r="X66" s="41">
        <f t="shared" ca="1" si="0"/>
        <v>4</v>
      </c>
      <c r="Y66" s="41">
        <f t="shared" si="6"/>
        <v>0</v>
      </c>
      <c r="Z66" s="41">
        <f t="shared" si="6"/>
        <v>0</v>
      </c>
      <c r="AA66" s="41">
        <f t="shared" si="6"/>
        <v>0</v>
      </c>
      <c r="AB66" s="41">
        <f t="shared" si="6"/>
        <v>0</v>
      </c>
      <c r="AC66" s="143">
        <v>0</v>
      </c>
      <c r="AD66" s="17"/>
      <c r="AE66" s="17"/>
      <c r="AF66" s="17"/>
    </row>
    <row r="67" spans="1:32" ht="12.75" customHeight="1" x14ac:dyDescent="0.35">
      <c r="A67" s="17"/>
      <c r="B67" s="17"/>
      <c r="C67" s="17"/>
      <c r="D67" s="17"/>
      <c r="E67" s="17"/>
      <c r="F67" s="20" t="s">
        <v>2390</v>
      </c>
      <c r="G67" s="21"/>
      <c r="H67" s="17"/>
      <c r="I67" s="41" t="s">
        <v>532</v>
      </c>
      <c r="J67" s="35" t="s">
        <v>2391</v>
      </c>
      <c r="K67" s="21">
        <v>1</v>
      </c>
      <c r="L67" s="75">
        <v>1</v>
      </c>
      <c r="M67" s="78" t="s">
        <v>2367</v>
      </c>
      <c r="N67" s="21">
        <f>IF(ISNA(MATCH(FinYearR03,ColHeadersR,0)),IF(ISNA(C2),IF(ISNA(C3),IF(ISNA(C4),IF(ISNA(C5),C6,C5),C4),C3),C2),MATCH(FinYearR03,ColHeadersR,0))+C1</f>
        <v>11</v>
      </c>
      <c r="O67" s="41">
        <f>ROW(Calculations!$E865)</f>
        <v>865</v>
      </c>
      <c r="P67" s="17"/>
      <c r="Q67" s="17"/>
      <c r="R67" s="17"/>
      <c r="S67" s="17"/>
      <c r="T67" s="17"/>
      <c r="U67" s="17"/>
      <c r="V67" s="41">
        <f t="shared" si="6"/>
        <v>0</v>
      </c>
      <c r="W67" s="41">
        <f t="shared" si="6"/>
        <v>1</v>
      </c>
      <c r="X67" s="41">
        <f t="shared" ca="1" si="0"/>
        <v>4</v>
      </c>
      <c r="Y67" s="41">
        <f t="shared" si="6"/>
        <v>0</v>
      </c>
      <c r="Z67" s="41">
        <f t="shared" si="6"/>
        <v>0</v>
      </c>
      <c r="AA67" s="41">
        <f t="shared" si="6"/>
        <v>0</v>
      </c>
      <c r="AB67" s="41">
        <f t="shared" si="6"/>
        <v>0</v>
      </c>
      <c r="AC67" s="143">
        <v>0</v>
      </c>
      <c r="AD67" s="17"/>
      <c r="AE67" s="17"/>
      <c r="AF67" s="17"/>
    </row>
    <row r="68" spans="1:32" ht="12.75" customHeight="1" x14ac:dyDescent="0.35">
      <c r="A68" s="17"/>
      <c r="B68" s="17"/>
      <c r="C68" s="17"/>
      <c r="D68" s="17"/>
      <c r="E68" s="17"/>
      <c r="F68" s="20" t="s">
        <v>2392</v>
      </c>
      <c r="G68" s="21">
        <v>1</v>
      </c>
      <c r="H68" s="17"/>
      <c r="I68" s="41" t="s">
        <v>551</v>
      </c>
      <c r="J68" s="41" t="s">
        <v>2393</v>
      </c>
      <c r="K68" s="21">
        <v>2</v>
      </c>
      <c r="L68" s="75">
        <v>2</v>
      </c>
      <c r="M68" s="78" t="s">
        <v>2370</v>
      </c>
      <c r="N68" s="21">
        <f>IF(ISNA(MATCH(FinYearR04,ColHeadersR,0)),IF(ISNA(C2),IF(ISNA(C3),IF(ISNA(C4),IF(ISNA(C5),C6,C5),C4),C3),C2),MATCH(FinYearR04,ColHeadersR,0))+C1</f>
        <v>11</v>
      </c>
      <c r="O68" s="41">
        <f>ROW(Calculations!$E866)</f>
        <v>866</v>
      </c>
      <c r="P68" s="17"/>
      <c r="Q68" s="17"/>
      <c r="R68" s="17"/>
      <c r="S68" s="17"/>
      <c r="T68" s="17"/>
      <c r="U68" s="17"/>
      <c r="V68" s="41">
        <f t="shared" si="6"/>
        <v>0</v>
      </c>
      <c r="W68" s="41">
        <f t="shared" si="6"/>
        <v>1</v>
      </c>
      <c r="X68" s="41">
        <f t="shared" ca="1" si="0"/>
        <v>4</v>
      </c>
      <c r="Y68" s="41">
        <f t="shared" si="6"/>
        <v>0</v>
      </c>
      <c r="Z68" s="41">
        <f t="shared" si="6"/>
        <v>0</v>
      </c>
      <c r="AA68" s="41">
        <f t="shared" si="6"/>
        <v>0</v>
      </c>
      <c r="AB68" s="41">
        <f t="shared" si="6"/>
        <v>0</v>
      </c>
      <c r="AC68" s="143">
        <v>0</v>
      </c>
      <c r="AD68" s="17"/>
      <c r="AE68" s="17"/>
      <c r="AF68" s="17"/>
    </row>
    <row r="69" spans="1:32" ht="12.75" customHeight="1" x14ac:dyDescent="0.35">
      <c r="A69" s="17"/>
      <c r="B69" s="17"/>
      <c r="C69" s="17"/>
      <c r="D69" s="17"/>
      <c r="E69" s="17"/>
      <c r="F69" s="20" t="s">
        <v>2394</v>
      </c>
      <c r="G69" s="1237">
        <f>G68</f>
        <v>1</v>
      </c>
      <c r="H69" s="17"/>
      <c r="I69" s="41" t="s">
        <v>570</v>
      </c>
      <c r="J69" s="41" t="s">
        <v>2395</v>
      </c>
      <c r="K69" s="21">
        <v>3</v>
      </c>
      <c r="L69" s="75">
        <v>3</v>
      </c>
      <c r="M69" s="78" t="s">
        <v>2374</v>
      </c>
      <c r="N69" s="21">
        <f>IF(ISNA(MATCH(FinYearR05,ColHeadersR,0)),IF(ISNA(C2),IF(ISNA(C3),IF(ISNA(C4),IF(ISNA(C5),C6,C5),C4),C3),C2),MATCH(FinYearR05,ColHeadersR,0))+C1</f>
        <v>11</v>
      </c>
      <c r="O69" s="41">
        <f>ROW(Calculations!$E867)</f>
        <v>867</v>
      </c>
      <c r="P69" s="17"/>
      <c r="Q69" s="17"/>
      <c r="R69" s="17"/>
      <c r="S69" s="17"/>
      <c r="T69" s="17"/>
      <c r="U69" s="17"/>
      <c r="V69" s="41">
        <f t="shared" si="6"/>
        <v>0</v>
      </c>
      <c r="W69" s="41">
        <f t="shared" si="6"/>
        <v>1</v>
      </c>
      <c r="X69" s="41">
        <f t="shared" ca="1" si="0"/>
        <v>4</v>
      </c>
      <c r="Y69" s="41">
        <f t="shared" si="6"/>
        <v>0</v>
      </c>
      <c r="Z69" s="41">
        <f t="shared" si="6"/>
        <v>0</v>
      </c>
      <c r="AA69" s="41">
        <f t="shared" si="6"/>
        <v>0</v>
      </c>
      <c r="AB69" s="41">
        <f t="shared" si="6"/>
        <v>0</v>
      </c>
      <c r="AC69" s="143">
        <v>0</v>
      </c>
      <c r="AD69" s="17"/>
      <c r="AE69" s="17"/>
      <c r="AF69" s="17"/>
    </row>
    <row r="70" spans="1:32" ht="12.75" customHeight="1" x14ac:dyDescent="0.35">
      <c r="A70" s="17"/>
      <c r="B70" s="17"/>
      <c r="C70" s="17"/>
      <c r="D70" s="17"/>
      <c r="E70" s="17"/>
      <c r="F70" s="83" t="s">
        <v>2396</v>
      </c>
      <c r="G70" s="21">
        <v>0</v>
      </c>
      <c r="H70" s="17"/>
      <c r="I70" s="41" t="s">
        <v>589</v>
      </c>
      <c r="J70" s="41" t="s">
        <v>2397</v>
      </c>
      <c r="K70" s="21">
        <v>4</v>
      </c>
      <c r="L70" s="75">
        <v>4</v>
      </c>
      <c r="M70" s="80" t="s">
        <v>2377</v>
      </c>
      <c r="N70" s="21">
        <f>IF(ISNA(MATCH(FinYearR06,ColHeadersR,0)),IF(ISNA(C2),IF(ISNA(C3),IF(ISNA(C4),IF(ISNA(C5),C6,C5),C4),C3),C2),MATCH(FinYearR06,ColHeadersR,0))+C1</f>
        <v>11</v>
      </c>
      <c r="O70" s="41">
        <f>ROW(Calculations!$E868)</f>
        <v>868</v>
      </c>
      <c r="P70" s="17"/>
      <c r="Q70" s="17"/>
      <c r="R70" s="17"/>
      <c r="S70" s="17"/>
      <c r="T70" s="17"/>
      <c r="U70" s="17"/>
      <c r="V70" s="41">
        <f t="shared" si="6"/>
        <v>0</v>
      </c>
      <c r="W70" s="41">
        <f t="shared" si="6"/>
        <v>1</v>
      </c>
      <c r="X70" s="41">
        <f t="shared" ca="1" si="0"/>
        <v>4</v>
      </c>
      <c r="Y70" s="41">
        <f t="shared" si="6"/>
        <v>0</v>
      </c>
      <c r="Z70" s="41">
        <f t="shared" si="6"/>
        <v>0</v>
      </c>
      <c r="AA70" s="41">
        <f t="shared" si="6"/>
        <v>0</v>
      </c>
      <c r="AB70" s="41">
        <f t="shared" si="6"/>
        <v>0</v>
      </c>
      <c r="AC70" s="143">
        <v>0</v>
      </c>
      <c r="AD70" s="17"/>
      <c r="AE70" s="17"/>
      <c r="AF70" s="17"/>
    </row>
    <row r="71" spans="1:32" ht="12.75" customHeight="1" x14ac:dyDescent="0.35">
      <c r="A71" s="17"/>
      <c r="B71" s="17"/>
      <c r="C71" s="17"/>
      <c r="D71" s="17"/>
      <c r="E71" s="17"/>
      <c r="F71" s="83" t="s">
        <v>2398</v>
      </c>
      <c r="G71" s="21">
        <v>0</v>
      </c>
      <c r="H71" s="17"/>
      <c r="I71" s="41" t="s">
        <v>608</v>
      </c>
      <c r="J71" s="41" t="s">
        <v>2399</v>
      </c>
      <c r="K71" s="21">
        <v>5</v>
      </c>
      <c r="L71" s="75">
        <v>5</v>
      </c>
      <c r="M71" s="187" t="s">
        <v>5366</v>
      </c>
      <c r="N71" s="170">
        <f>IF(ISNA(MATCH(FinYearR07,ColHeadersR,0)),IF(ISNA(C2),IF(ISNA(C3),IF(ISNA(C4),IF(ISNA(C5),C6,C5),C4),C3),C2),MATCH(FinYearR07,ColHeadersR,0))+C1</f>
        <v>11</v>
      </c>
      <c r="O71" s="41">
        <f>ROW(Calculations!$E869)</f>
        <v>869</v>
      </c>
      <c r="P71" s="17"/>
      <c r="Q71" s="17"/>
      <c r="R71" s="17"/>
      <c r="S71" s="17"/>
      <c r="T71" s="17"/>
      <c r="U71" s="17"/>
      <c r="V71" s="41">
        <f t="shared" si="6"/>
        <v>0</v>
      </c>
      <c r="W71" s="41">
        <f t="shared" si="6"/>
        <v>1</v>
      </c>
      <c r="X71" s="41">
        <f t="shared" ca="1" si="0"/>
        <v>4</v>
      </c>
      <c r="Y71" s="41">
        <f t="shared" si="6"/>
        <v>0</v>
      </c>
      <c r="Z71" s="41">
        <f t="shared" si="6"/>
        <v>0</v>
      </c>
      <c r="AA71" s="41">
        <f t="shared" si="6"/>
        <v>0</v>
      </c>
      <c r="AB71" s="41">
        <f t="shared" si="6"/>
        <v>0</v>
      </c>
      <c r="AC71" s="143">
        <v>0</v>
      </c>
      <c r="AD71" s="17"/>
      <c r="AE71" s="17"/>
      <c r="AF71" s="17"/>
    </row>
    <row r="72" spans="1:32" ht="12.75" customHeight="1" x14ac:dyDescent="0.35">
      <c r="A72" s="17"/>
      <c r="B72" s="17"/>
      <c r="C72" s="17"/>
      <c r="D72" s="17"/>
      <c r="E72" s="17"/>
      <c r="F72" s="20" t="s">
        <v>2400</v>
      </c>
      <c r="G72" s="21"/>
      <c r="H72" s="17"/>
      <c r="I72" s="47" t="s">
        <v>627</v>
      </c>
      <c r="J72" s="47" t="s">
        <v>2401</v>
      </c>
      <c r="K72" s="21">
        <v>6</v>
      </c>
      <c r="L72" s="75">
        <v>6</v>
      </c>
      <c r="M72" s="187" t="s">
        <v>5367</v>
      </c>
      <c r="N72" s="170">
        <f>IF(ISNA(MATCH(FinYearR08,ColHeadersR,0)),IF(ISNA(C2),IF(ISNA(C3),IF(ISNA(C4),IF(ISNA(C5),C6,C5),C4),C3),C2),MATCH(FinYearR08,ColHeadersR,0))+C1</f>
        <v>11</v>
      </c>
      <c r="O72" s="41">
        <f>ROW(Calculations!$E870)</f>
        <v>870</v>
      </c>
      <c r="P72" s="17"/>
      <c r="Q72" s="17"/>
      <c r="R72" s="17"/>
      <c r="S72" s="17"/>
      <c r="T72" s="17"/>
      <c r="U72" s="17"/>
      <c r="V72" s="41">
        <f t="shared" si="6"/>
        <v>0</v>
      </c>
      <c r="W72" s="41">
        <f t="shared" si="6"/>
        <v>1</v>
      </c>
      <c r="X72" s="41">
        <f t="shared" ca="1" si="0"/>
        <v>4</v>
      </c>
      <c r="Y72" s="41">
        <f t="shared" si="6"/>
        <v>0</v>
      </c>
      <c r="Z72" s="41">
        <f t="shared" si="6"/>
        <v>0</v>
      </c>
      <c r="AA72" s="41">
        <f t="shared" si="6"/>
        <v>0</v>
      </c>
      <c r="AB72" s="41">
        <f t="shared" si="6"/>
        <v>0</v>
      </c>
      <c r="AC72" s="143">
        <v>0</v>
      </c>
      <c r="AD72" s="17"/>
      <c r="AE72" s="17"/>
      <c r="AF72" s="17"/>
    </row>
    <row r="73" spans="1:32" ht="12.75" customHeight="1" x14ac:dyDescent="0.35">
      <c r="A73" s="70"/>
      <c r="B73" s="17"/>
      <c r="C73" s="17"/>
      <c r="D73" s="17"/>
      <c r="E73" s="17"/>
      <c r="F73" s="20" t="s">
        <v>2402</v>
      </c>
      <c r="G73" s="33"/>
      <c r="H73" s="17"/>
      <c r="I73" s="17"/>
      <c r="J73" s="35" t="s">
        <v>2403</v>
      </c>
      <c r="K73" s="21">
        <v>1</v>
      </c>
      <c r="L73" s="75">
        <v>1</v>
      </c>
      <c r="M73" s="187" t="s">
        <v>5368</v>
      </c>
      <c r="N73" s="170">
        <f>IF(ISNA(MATCH(FinYearR09,ColHeadersR,0)),IF(ISNA(C2),IF(ISNA(C3),IF(ISNA(C4),IF(ISNA(C5),C6,C5),C4),C3),C2),MATCH(FinYearR09,ColHeadersR,0))+C1</f>
        <v>11</v>
      </c>
      <c r="O73" s="41">
        <f>ROW(Calculations!$E871)</f>
        <v>871</v>
      </c>
      <c r="P73" s="17"/>
      <c r="Q73" s="17"/>
      <c r="R73" s="17"/>
      <c r="S73" s="17"/>
      <c r="T73" s="17"/>
      <c r="U73" s="17"/>
      <c r="V73" s="41">
        <f t="shared" si="6"/>
        <v>0</v>
      </c>
      <c r="W73" s="41">
        <f t="shared" si="6"/>
        <v>1</v>
      </c>
      <c r="X73" s="41">
        <f t="shared" ca="1" si="0"/>
        <v>4</v>
      </c>
      <c r="Y73" s="41">
        <f t="shared" si="6"/>
        <v>0</v>
      </c>
      <c r="Z73" s="41">
        <f t="shared" si="6"/>
        <v>0</v>
      </c>
      <c r="AA73" s="41">
        <f t="shared" si="6"/>
        <v>0</v>
      </c>
      <c r="AB73" s="41">
        <f t="shared" si="6"/>
        <v>0</v>
      </c>
      <c r="AC73" s="143">
        <v>0</v>
      </c>
      <c r="AD73" s="17"/>
      <c r="AE73" s="17"/>
      <c r="AF73" s="17"/>
    </row>
    <row r="74" spans="1:32" ht="12.75" customHeight="1" x14ac:dyDescent="0.35">
      <c r="A74" s="17"/>
      <c r="B74" s="17"/>
      <c r="C74" s="17"/>
      <c r="D74" s="17"/>
      <c r="E74" s="17"/>
      <c r="F74" s="163" t="s">
        <v>2404</v>
      </c>
      <c r="G74" s="28" t="e">
        <f>IF(PeriodType=1,IRR(Calculations!$G$1218:$Q$1218),NA())</f>
        <v>#N/A</v>
      </c>
      <c r="H74" s="17"/>
      <c r="I74" s="17" t="s">
        <v>5592</v>
      </c>
      <c r="J74" s="41" t="s">
        <v>2405</v>
      </c>
      <c r="K74" s="21">
        <v>2</v>
      </c>
      <c r="L74" s="75">
        <v>2</v>
      </c>
      <c r="M74" s="187" t="s">
        <v>5369</v>
      </c>
      <c r="N74" s="170">
        <f>IF(ISNA(MATCH(FinYearR10,ColHeadersR,0)),IF(ISNA(C2),IF(ISNA(C3),IF(ISNA(C4),IF(ISNA(C5),C6,C5),C4),C3),C2),MATCH(FinYearR10,ColHeadersR,0))+C1</f>
        <v>11</v>
      </c>
      <c r="O74" s="47">
        <f>ROW(Calculations!$E907)</f>
        <v>907</v>
      </c>
      <c r="P74" s="17"/>
      <c r="Q74" s="17"/>
      <c r="R74" s="17"/>
      <c r="S74" s="17"/>
      <c r="T74" s="17"/>
      <c r="U74" s="17"/>
      <c r="V74" s="41">
        <f t="shared" si="6"/>
        <v>0</v>
      </c>
      <c r="W74" s="41">
        <f t="shared" si="6"/>
        <v>1</v>
      </c>
      <c r="X74" s="41">
        <f t="shared" ca="1" si="0"/>
        <v>4</v>
      </c>
      <c r="Y74" s="41">
        <f t="shared" si="6"/>
        <v>0</v>
      </c>
      <c r="Z74" s="41">
        <f t="shared" si="6"/>
        <v>0</v>
      </c>
      <c r="AA74" s="41">
        <f t="shared" si="6"/>
        <v>0</v>
      </c>
      <c r="AB74" s="41">
        <f t="shared" si="6"/>
        <v>0</v>
      </c>
      <c r="AC74" s="143">
        <v>0</v>
      </c>
      <c r="AD74" s="17"/>
      <c r="AE74" s="17"/>
      <c r="AF74" s="17"/>
    </row>
    <row r="75" spans="1:32" ht="12.75" customHeight="1" x14ac:dyDescent="0.35">
      <c r="A75" s="17"/>
      <c r="B75" s="17"/>
      <c r="C75" s="17"/>
      <c r="D75" s="17"/>
      <c r="E75" s="17"/>
      <c r="F75" s="84" t="s">
        <v>2406</v>
      </c>
      <c r="G75" s="85">
        <f ca="1">IF(ISNA(G98),IF(ISERROR($G$74),IF(ISERROR($K$91),"-",$K$91),$G$74),OFFSET(G75,G98,0))</f>
        <v>0.50339226561054806</v>
      </c>
      <c r="H75" s="17"/>
      <c r="I75" s="1238"/>
      <c r="J75" s="41" t="s">
        <v>2407</v>
      </c>
      <c r="K75" s="21">
        <v>3</v>
      </c>
      <c r="L75" s="75">
        <v>3</v>
      </c>
      <c r="M75" s="189" t="s">
        <v>5370</v>
      </c>
      <c r="N75" s="170">
        <f>IF(ISNA(MATCH(FinYearR11,ColHeadersR,0)),IF(ISNA(C2),IF(ISNA(C3),IF(ISNA(C4),IF(ISNA(C5),C6,C5),C4),C3),C2),MATCH(FinYearR11,ColHeadersR,0))+C1</f>
        <v>11</v>
      </c>
      <c r="O75" s="17"/>
      <c r="P75" s="17"/>
      <c r="Q75" s="17"/>
      <c r="R75" s="17"/>
      <c r="S75" s="17"/>
      <c r="T75" s="17"/>
      <c r="U75" s="17"/>
      <c r="V75" s="47">
        <f t="shared" si="6"/>
        <v>0</v>
      </c>
      <c r="W75" s="47">
        <f t="shared" si="6"/>
        <v>1</v>
      </c>
      <c r="X75" s="47">
        <f t="shared" ca="1" si="0"/>
        <v>4</v>
      </c>
      <c r="Y75" s="47">
        <f t="shared" si="6"/>
        <v>0</v>
      </c>
      <c r="Z75" s="47">
        <f t="shared" si="6"/>
        <v>0</v>
      </c>
      <c r="AA75" s="47">
        <f t="shared" si="6"/>
        <v>0</v>
      </c>
      <c r="AB75" s="47">
        <f t="shared" si="6"/>
        <v>0</v>
      </c>
      <c r="AC75" s="144">
        <v>0</v>
      </c>
      <c r="AD75" s="17"/>
      <c r="AE75" s="17"/>
      <c r="AF75" s="17"/>
    </row>
    <row r="76" spans="1:32" ht="12.75" customHeight="1" x14ac:dyDescent="0.35">
      <c r="A76" s="70"/>
      <c r="B76" s="17"/>
      <c r="C76" s="17"/>
      <c r="D76" s="17"/>
      <c r="E76" s="17"/>
      <c r="F76" s="29">
        <f>F77*0.5</f>
        <v>1.1316398208850442E-3</v>
      </c>
      <c r="G76" s="86">
        <f t="shared" ref="G76:G97" ca="1" si="7">(1+IRR(IrrCashFlow,$F76))^12-1</f>
        <v>0.50339226561054806</v>
      </c>
      <c r="H76" s="17"/>
      <c r="I76" s="64" t="s">
        <v>5593</v>
      </c>
      <c r="J76" s="41" t="s">
        <v>2408</v>
      </c>
      <c r="K76" s="21">
        <v>4</v>
      </c>
      <c r="L76" s="75">
        <v>4</v>
      </c>
      <c r="O76" s="167" t="s">
        <v>5340</v>
      </c>
      <c r="P76" s="17"/>
      <c r="Q76" s="17"/>
      <c r="R76" s="17"/>
      <c r="S76" s="17"/>
      <c r="T76" s="17"/>
      <c r="U76" s="17"/>
      <c r="V76" s="17"/>
      <c r="W76" s="17"/>
      <c r="X76" s="17"/>
      <c r="Y76" s="17"/>
      <c r="Z76" s="17"/>
      <c r="AA76" s="17"/>
      <c r="AB76" s="17"/>
      <c r="AC76" s="17"/>
      <c r="AD76" s="17"/>
      <c r="AE76" s="17"/>
      <c r="AF76" s="17"/>
    </row>
    <row r="77" spans="1:32" ht="12.75" customHeight="1" x14ac:dyDescent="0.35">
      <c r="A77" s="17"/>
      <c r="B77" s="17"/>
      <c r="C77" s="17"/>
      <c r="D77" s="17"/>
      <c r="E77" s="17"/>
      <c r="F77" s="36">
        <f>DiscMonth</f>
        <v>2.2632796417700884E-3</v>
      </c>
      <c r="G77" s="87">
        <f t="shared" ca="1" si="7"/>
        <v>0.50339226561054384</v>
      </c>
      <c r="H77" s="17"/>
      <c r="I77" s="1239"/>
      <c r="J77" s="41" t="s">
        <v>2409</v>
      </c>
      <c r="K77" s="21">
        <v>5</v>
      </c>
      <c r="L77" s="75">
        <v>5</v>
      </c>
      <c r="O77" s="186" t="s">
        <v>5341</v>
      </c>
      <c r="P77" s="17"/>
      <c r="Q77" s="17"/>
      <c r="R77" s="17"/>
      <c r="S77" s="17"/>
      <c r="T77" s="17"/>
      <c r="U77" s="17"/>
      <c r="V77" s="119" t="s">
        <v>2410</v>
      </c>
      <c r="W77" s="17" t="s">
        <v>2411</v>
      </c>
      <c r="X77" s="17" t="str">
        <f ca="1">OFFSET($V$77,PerpetuityIndexEquity,0)</f>
        <v>5 years</v>
      </c>
      <c r="Y77" s="17"/>
      <c r="Z77" s="120" t="s">
        <v>2412</v>
      </c>
      <c r="AA77" s="17"/>
      <c r="AB77" s="120" t="s">
        <v>2413</v>
      </c>
      <c r="AC77" s="17"/>
      <c r="AD77" s="17"/>
      <c r="AE77" s="17"/>
      <c r="AF77" s="17"/>
    </row>
    <row r="78" spans="1:32" ht="12.75" customHeight="1" x14ac:dyDescent="0.35">
      <c r="A78" s="17"/>
      <c r="B78" s="17"/>
      <c r="C78" s="17"/>
      <c r="D78" s="17"/>
      <c r="E78" s="17"/>
      <c r="F78" s="36">
        <f>F77*1.5</f>
        <v>3.3949194626551327E-3</v>
      </c>
      <c r="G78" s="87">
        <f t="shared" ca="1" si="7"/>
        <v>0.50339226561054806</v>
      </c>
      <c r="H78" s="17"/>
      <c r="I78" s="17"/>
      <c r="J78" s="47" t="s">
        <v>2414</v>
      </c>
      <c r="K78" s="21">
        <v>6</v>
      </c>
      <c r="L78" s="75">
        <v>6</v>
      </c>
      <c r="O78" s="179" t="s">
        <v>5342</v>
      </c>
      <c r="P78" s="17"/>
      <c r="Q78" s="17"/>
      <c r="R78" s="17"/>
      <c r="S78" s="17"/>
      <c r="T78" s="17"/>
      <c r="U78" s="17"/>
      <c r="V78" s="128" t="str">
        <f ca="1">PROPER(SpecsTxt!E2)</f>
        <v>Perpetual</v>
      </c>
      <c r="W78" s="17"/>
      <c r="X78" s="17">
        <v>0</v>
      </c>
      <c r="Y78" s="17"/>
      <c r="Z78" s="121">
        <f>SUM(Z79:Z178)</f>
        <v>0</v>
      </c>
      <c r="AA78" s="17"/>
      <c r="AB78" s="121">
        <f>SUM(AB79:AB178)</f>
        <v>0</v>
      </c>
      <c r="AC78" s="88">
        <f>SUM(AC79:AC178)</f>
        <v>0</v>
      </c>
      <c r="AD78" s="89">
        <f>SUM(AD79:AD178)</f>
        <v>0</v>
      </c>
      <c r="AE78" s="89">
        <f>SUM(AE79:AE178)</f>
        <v>0</v>
      </c>
      <c r="AF78" s="89">
        <f>SUM(AF79:AF178)</f>
        <v>0</v>
      </c>
    </row>
    <row r="79" spans="1:32" ht="12.75" customHeight="1" x14ac:dyDescent="0.35">
      <c r="A79" s="17"/>
      <c r="B79" s="17"/>
      <c r="C79" s="17"/>
      <c r="D79" s="17"/>
      <c r="E79" s="17"/>
      <c r="F79" s="36">
        <f>-F76</f>
        <v>-1.1316398208850442E-3</v>
      </c>
      <c r="G79" s="87">
        <f t="shared" ca="1" si="7"/>
        <v>0.50339226561054384</v>
      </c>
      <c r="H79" s="17"/>
      <c r="I79" s="17"/>
      <c r="J79" s="17"/>
      <c r="K79" s="17"/>
      <c r="L79" s="17"/>
      <c r="O79" s="179" t="s">
        <v>5343</v>
      </c>
      <c r="P79" s="17"/>
      <c r="Q79" s="17"/>
      <c r="R79" s="17"/>
      <c r="S79" s="17"/>
      <c r="T79" s="17"/>
      <c r="U79" s="17"/>
      <c r="V79" s="129" t="str">
        <f t="shared" ref="V79:V110" si="8">W79&amp;" "&amp;X79</f>
        <v>1 year</v>
      </c>
      <c r="W79" s="17">
        <v>1</v>
      </c>
      <c r="X79" s="17" t="str">
        <f>IF(Language&lt;&gt;5,""&amp;'Basic Values'!$B$5,"rok")</f>
        <v>year</v>
      </c>
      <c r="Y79" s="17">
        <f t="shared" ref="Y79:Y110" si="9">IF($W79&lt;=PerpetuityLimitation-1,$W79,0)</f>
        <v>0</v>
      </c>
      <c r="Z79" s="70">
        <f>IF(Y79&lt;&gt;0,(PerpetuityBaseValue*IF(PerpetuityGrowing=2,(1+Result!$G$28/100)^Specs!W79,1))/(1+DiscYear/100)^$W79,0)</f>
        <v>0</v>
      </c>
      <c r="AA79" s="17">
        <f t="shared" ref="AA79:AA110" si="10">IF($W79&lt;=PerpetuityLimitationEquity-1,$W79,0)</f>
        <v>0</v>
      </c>
      <c r="AB79" s="70">
        <f>IF(AA79&lt;&gt;0,(PerpetuityBaseValueEquity*IF(PerpetuityGrowing=2,1+Result!$G$108/100,1))/(1+DiscYearEquity/100)^$W79,0)</f>
        <v>0</v>
      </c>
      <c r="AC79" s="70">
        <f>IF(Y79&lt;&gt;0,(PerpetuityBaseValue*IF(PerpetuityGrowing=2,(1+Result!$G$28/100)^Specs!W79,1))/(1+Calculations!$D$1056)^$W79,0)</f>
        <v>0</v>
      </c>
      <c r="AD79" s="70">
        <f>IF(Y79&lt;&gt;0,(PerpetuityBaseValue*IF(PerpetuityGrowing=2,(1+Result!$G$28/100)^Specs!W79,1))/(1+Calculations!$D$1057)^$W79,0)</f>
        <v>0</v>
      </c>
      <c r="AE79" s="70">
        <f>IF(Y79&lt;&gt;0,(PerpetuityBaseValue*IF(PerpetuityGrowing=2,(1+Result!$G$28/100)^Specs!W79,1))/(1+Calculations!$D$1059)^$W79,0)</f>
        <v>0</v>
      </c>
      <c r="AF79" s="70">
        <f>IF(Y79&lt;&gt;0,(PerpetuityBaseValue*IF(PerpetuityGrowing=2,(1+Result!$G$28/100)^Specs!W79,1))/(1+Calculations!$D$1060)^$W79,0)</f>
        <v>0</v>
      </c>
    </row>
    <row r="80" spans="1:32" ht="12.75" customHeight="1" x14ac:dyDescent="0.35">
      <c r="A80" s="17"/>
      <c r="B80" s="17"/>
      <c r="C80" s="17"/>
      <c r="D80" s="17"/>
      <c r="E80" s="17"/>
      <c r="F80" s="36">
        <f>-F77</f>
        <v>-2.2632796417700884E-3</v>
      </c>
      <c r="G80" s="87">
        <f t="shared" ca="1" si="7"/>
        <v>0.50339226561055161</v>
      </c>
      <c r="H80" s="17"/>
      <c r="I80" s="17"/>
      <c r="J80" s="17"/>
      <c r="K80" s="17"/>
      <c r="L80" s="17"/>
      <c r="O80" s="179" t="s">
        <v>5344</v>
      </c>
      <c r="P80" s="17"/>
      <c r="Q80" s="17"/>
      <c r="R80" s="17"/>
      <c r="S80" s="17"/>
      <c r="T80" s="17"/>
      <c r="U80" s="17"/>
      <c r="V80" s="129" t="str">
        <f t="shared" si="8"/>
        <v>2 years</v>
      </c>
      <c r="W80" s="17">
        <v>2</v>
      </c>
      <c r="X80" s="17" t="str">
        <f>IF(Language&lt;&gt;5,'Basic Values'!$B$9,IF(W80&lt;5,"lata","lat"))</f>
        <v>years</v>
      </c>
      <c r="Y80" s="17">
        <f t="shared" si="9"/>
        <v>0</v>
      </c>
      <c r="Z80" s="70">
        <f>IF(Y80&lt;&gt;0,(PerpetuityBaseValue*IF(PerpetuityGrowing=2,(1+Result!$G$28/100)^Specs!W80,1))/(1+DiscYear/100)^$W80,0)</f>
        <v>0</v>
      </c>
      <c r="AA80" s="17">
        <f t="shared" si="10"/>
        <v>0</v>
      </c>
      <c r="AB80" s="70">
        <f>IF(AA80&lt;&gt;0,(PerpetuityBaseValueEquity*IF(PerpetuityGrowing=2,1+Result!$G$108/100,1))/(1+DiscYearEquity/100)^$W80,0)</f>
        <v>0</v>
      </c>
      <c r="AC80" s="70">
        <f>IF(Y80&lt;&gt;0,(PerpetuityBaseValue*IF(PerpetuityGrowing=2,(1+Result!$G$28/100)^Specs!W80,1))/(1+Calculations!$D$1056)^$W80,0)</f>
        <v>0</v>
      </c>
      <c r="AD80" s="70">
        <f>IF(Y80&lt;&gt;0,(PerpetuityBaseValue*IF(PerpetuityGrowing=2,(1+Result!$G$28/100)^Specs!W80,1))/(1+Calculations!$D$1057)^$W80,0)</f>
        <v>0</v>
      </c>
      <c r="AE80" s="70">
        <f>IF(Y80&lt;&gt;0,(PerpetuityBaseValue*IF(PerpetuityGrowing=2,(1+Result!$G$28/100)^Specs!W80,1))/(1+Calculations!$D$1059)^$W80,0)</f>
        <v>0</v>
      </c>
      <c r="AF80" s="70">
        <f>IF(Y80&lt;&gt;0,(PerpetuityBaseValue*IF(PerpetuityGrowing=2,(1+Result!$G$28/100)^Specs!W80,1))/(1+Calculations!$D$1060)^$W80,0)</f>
        <v>0</v>
      </c>
    </row>
    <row r="81" spans="1:32" ht="12.75" customHeight="1" x14ac:dyDescent="0.35">
      <c r="A81" s="17"/>
      <c r="B81" s="17"/>
      <c r="C81" s="17"/>
      <c r="D81" s="17"/>
      <c r="E81" s="17"/>
      <c r="F81" s="36">
        <f>-F78</f>
        <v>-3.3949194626551327E-3</v>
      </c>
      <c r="G81" s="87">
        <f t="shared" ca="1" si="7"/>
        <v>0.50339226561054384</v>
      </c>
      <c r="H81" s="17"/>
      <c r="I81" s="17"/>
      <c r="J81" s="17"/>
      <c r="K81" s="17"/>
      <c r="L81" s="17"/>
      <c r="O81" s="179" t="s">
        <v>5345</v>
      </c>
      <c r="P81" s="17"/>
      <c r="Q81" s="17"/>
      <c r="R81" s="17"/>
      <c r="S81" s="17"/>
      <c r="T81" s="17"/>
      <c r="U81" s="17"/>
      <c r="V81" s="129" t="str">
        <f t="shared" si="8"/>
        <v>3 years</v>
      </c>
      <c r="W81" s="17">
        <v>3</v>
      </c>
      <c r="X81" s="17" t="str">
        <f>IF(Language&lt;&gt;5,'Basic Values'!$B$9,IF(W81&lt;5,"lata","lat"))</f>
        <v>years</v>
      </c>
      <c r="Y81" s="17">
        <f t="shared" si="9"/>
        <v>0</v>
      </c>
      <c r="Z81" s="70">
        <f>IF(Y81&lt;&gt;0,(PerpetuityBaseValue*IF(PerpetuityGrowing=2,(1+Result!$G$28/100)^Specs!W81,1))/(1+DiscYear/100)^$W81,0)</f>
        <v>0</v>
      </c>
      <c r="AA81" s="17">
        <f t="shared" si="10"/>
        <v>0</v>
      </c>
      <c r="AB81" s="70">
        <f>IF(AA81&lt;&gt;0,(PerpetuityBaseValueEquity*IF(PerpetuityGrowing=2,1+Result!$G$108/100,1))/(1+DiscYearEquity/100)^$W81,0)</f>
        <v>0</v>
      </c>
      <c r="AC81" s="70">
        <f>IF(Y81&lt;&gt;0,(PerpetuityBaseValue*IF(PerpetuityGrowing=2,(1+Result!$G$28/100)^Specs!W81,1))/(1+Calculations!$D$1056)^$W81,0)</f>
        <v>0</v>
      </c>
      <c r="AD81" s="70">
        <f>IF(Y81&lt;&gt;0,(PerpetuityBaseValue*IF(PerpetuityGrowing=2,(1+Result!$G$28/100)^Specs!W81,1))/(1+Calculations!$D$1057)^$W81,0)</f>
        <v>0</v>
      </c>
      <c r="AE81" s="70">
        <f>IF(Y81&lt;&gt;0,(PerpetuityBaseValue*IF(PerpetuityGrowing=2,(1+Result!$G$28/100)^Specs!W81,1))/(1+Calculations!$D$1059)^$W81,0)</f>
        <v>0</v>
      </c>
      <c r="AF81" s="70">
        <f>IF(Y81&lt;&gt;0,(PerpetuityBaseValue*IF(PerpetuityGrowing=2,(1+Result!$G$28/100)^Specs!W81,1))/(1+Calculations!$D$1060)^$W81,0)</f>
        <v>0</v>
      </c>
    </row>
    <row r="82" spans="1:32" ht="12.75" customHeight="1" x14ac:dyDescent="0.35">
      <c r="A82" s="17"/>
      <c r="B82" s="17"/>
      <c r="C82" s="17"/>
      <c r="D82" s="17"/>
      <c r="E82" s="17"/>
      <c r="F82" s="90">
        <v>-1</v>
      </c>
      <c r="G82" s="1249">
        <f ca="1">G84</f>
        <v>0.50339226561054806</v>
      </c>
      <c r="H82" s="17"/>
      <c r="I82" s="17"/>
      <c r="J82" s="17"/>
      <c r="K82" s="17"/>
      <c r="L82" s="17"/>
      <c r="M82" s="169" t="s">
        <v>5230</v>
      </c>
      <c r="N82" s="170">
        <v>1</v>
      </c>
      <c r="O82" s="179" t="s">
        <v>5346</v>
      </c>
      <c r="P82" s="17"/>
      <c r="Q82" s="17"/>
      <c r="R82" s="17"/>
      <c r="S82" s="17"/>
      <c r="T82" s="17"/>
      <c r="U82" s="17"/>
      <c r="V82" s="129" t="str">
        <f t="shared" si="8"/>
        <v>4 years</v>
      </c>
      <c r="W82" s="17">
        <v>4</v>
      </c>
      <c r="X82" s="17" t="str">
        <f>IF(Language&lt;&gt;5,'Basic Values'!$B$9,IF(W82&lt;5,"lata","lat"))</f>
        <v>years</v>
      </c>
      <c r="Y82" s="17">
        <f t="shared" si="9"/>
        <v>0</v>
      </c>
      <c r="Z82" s="70">
        <f>IF(Y82&lt;&gt;0,(PerpetuityBaseValue*IF(PerpetuityGrowing=2,(1+Result!$G$28/100)^Specs!W82,1))/(1+DiscYear/100)^$W82,0)</f>
        <v>0</v>
      </c>
      <c r="AA82" s="17">
        <f t="shared" si="10"/>
        <v>0</v>
      </c>
      <c r="AB82" s="70">
        <f>IF(AA82&lt;&gt;0,(PerpetuityBaseValueEquity*IF(PerpetuityGrowing=2,1+Result!$G$108/100,1))/(1+DiscYearEquity/100)^$W82,0)</f>
        <v>0</v>
      </c>
      <c r="AC82" s="70">
        <f>IF(Y82&lt;&gt;0,(PerpetuityBaseValue*IF(PerpetuityGrowing=2,(1+Result!$G$28/100)^Specs!W82,1))/(1+Calculations!$D$1056)^$W82,0)</f>
        <v>0</v>
      </c>
      <c r="AD82" s="70">
        <f>IF(Y82&lt;&gt;0,(PerpetuityBaseValue*IF(PerpetuityGrowing=2,(1+Result!$G$28/100)^Specs!W82,1))/(1+Calculations!$D$1057)^$W82,0)</f>
        <v>0</v>
      </c>
      <c r="AE82" s="70">
        <f>IF(Y82&lt;&gt;0,(PerpetuityBaseValue*IF(PerpetuityGrowing=2,(1+Result!$G$28/100)^Specs!W82,1))/(1+Calculations!$D$1059)^$W82,0)</f>
        <v>0</v>
      </c>
      <c r="AF82" s="70">
        <f>IF(Y82&lt;&gt;0,(PerpetuityBaseValue*IF(PerpetuityGrowing=2,(1+Result!$G$28/100)^Specs!W82,1))/(1+Calculations!$D$1060)^$W82,0)</f>
        <v>0</v>
      </c>
    </row>
    <row r="83" spans="1:32" ht="12.75" customHeight="1" x14ac:dyDescent="0.35">
      <c r="A83" s="17"/>
      <c r="B83" s="17"/>
      <c r="C83" s="17"/>
      <c r="D83" s="17"/>
      <c r="E83" s="17"/>
      <c r="F83" s="92">
        <v>-9.5462094216042792E-2</v>
      </c>
      <c r="G83" s="93">
        <f t="shared" ca="1" si="7"/>
        <v>0.50339226561054806</v>
      </c>
      <c r="H83" s="17"/>
      <c r="I83" s="17"/>
      <c r="J83" s="17">
        <v>12</v>
      </c>
      <c r="K83" s="17">
        <f>MATCH(Specs!J83,Calculations!$G$17:$Q$17,0)</f>
        <v>6</v>
      </c>
      <c r="L83" s="17"/>
      <c r="M83" s="171" t="s">
        <v>5231</v>
      </c>
      <c r="N83" s="170">
        <v>2</v>
      </c>
      <c r="O83" s="179" t="s">
        <v>5347</v>
      </c>
      <c r="P83" s="17"/>
      <c r="Q83" s="17"/>
      <c r="R83" s="17"/>
      <c r="S83" s="17"/>
      <c r="T83" s="17"/>
      <c r="U83" s="17"/>
      <c r="V83" s="129" t="str">
        <f t="shared" si="8"/>
        <v>5 years</v>
      </c>
      <c r="W83" s="17">
        <v>5</v>
      </c>
      <c r="X83" s="17" t="str">
        <f>IF(Language&lt;&gt;5,'Basic Values'!$B$9,IF(W83&lt;5,"lata","lat"))</f>
        <v>years</v>
      </c>
      <c r="Y83" s="17">
        <f t="shared" si="9"/>
        <v>0</v>
      </c>
      <c r="Z83" s="70">
        <f>IF(Y83&lt;&gt;0,(PerpetuityBaseValue*IF(PerpetuityGrowing=2,(1+Result!$G$28/100)^Specs!W83,1))/(1+DiscYear/100)^$W83,0)</f>
        <v>0</v>
      </c>
      <c r="AA83" s="17">
        <f t="shared" si="10"/>
        <v>0</v>
      </c>
      <c r="AB83" s="70">
        <f>IF(AA83&lt;&gt;0,(PerpetuityBaseValueEquity*IF(PerpetuityGrowing=2,1+Result!$G$108/100,1))/(1+DiscYearEquity/100)^$W83,0)</f>
        <v>0</v>
      </c>
      <c r="AC83" s="70">
        <f>IF(Y83&lt;&gt;0,(PerpetuityBaseValue*IF(PerpetuityGrowing=2,(1+Result!$G$28/100)^Specs!W83,1))/(1+Calculations!$D$1056)^$W83,0)</f>
        <v>0</v>
      </c>
      <c r="AD83" s="70">
        <f>IF(Y83&lt;&gt;0,(PerpetuityBaseValue*IF(PerpetuityGrowing=2,(1+Result!$G$28/100)^Specs!W83,1))/(1+Calculations!$D$1057)^$W83,0)</f>
        <v>0</v>
      </c>
      <c r="AE83" s="70">
        <f>IF(Y83&lt;&gt;0,(PerpetuityBaseValue*IF(PerpetuityGrowing=2,(1+Result!$G$28/100)^Specs!W83,1))/(1+Calculations!$D$1059)^$W83,0)</f>
        <v>0</v>
      </c>
      <c r="AF83" s="70">
        <f>IF(Y83&lt;&gt;0,(PerpetuityBaseValue*IF(PerpetuityGrowing=2,(1+Result!$G$28/100)^Specs!W83,1))/(1+Calculations!$D$1060)^$W83,0)</f>
        <v>0</v>
      </c>
    </row>
    <row r="84" spans="1:32" ht="12.75" customHeight="1" x14ac:dyDescent="0.35">
      <c r="A84" s="17"/>
      <c r="B84" s="17"/>
      <c r="C84" s="17"/>
      <c r="D84" s="17"/>
      <c r="E84" s="17"/>
      <c r="F84" s="92">
        <v>-4.1675471372851991E-2</v>
      </c>
      <c r="G84" s="1248">
        <f ca="1">G86</f>
        <v>0.50339226561054806</v>
      </c>
      <c r="H84" s="17"/>
      <c r="I84" s="17"/>
      <c r="J84" s="17">
        <v>6</v>
      </c>
      <c r="K84" s="17" t="e">
        <f ca="1">MATCH(Specs!J84,Calculations!$G$17:$Q$17,0)</f>
        <v>#N/A</v>
      </c>
      <c r="L84" s="17"/>
      <c r="M84" s="171" t="s">
        <v>5232</v>
      </c>
      <c r="N84" s="170">
        <v>3</v>
      </c>
      <c r="O84" s="178" t="s">
        <v>5348</v>
      </c>
      <c r="P84" s="17"/>
      <c r="Q84" s="17"/>
      <c r="R84" s="17"/>
      <c r="S84" s="17"/>
      <c r="T84" s="17"/>
      <c r="U84" s="17"/>
      <c r="V84" s="129" t="str">
        <f t="shared" si="8"/>
        <v>6 years</v>
      </c>
      <c r="W84" s="17">
        <v>6</v>
      </c>
      <c r="X84" s="17" t="str">
        <f>IF(Language&lt;&gt;5,'Basic Values'!$B$9,IF(W84&lt;5,"lata","lat"))</f>
        <v>years</v>
      </c>
      <c r="Y84" s="17">
        <f t="shared" si="9"/>
        <v>0</v>
      </c>
      <c r="Z84" s="70">
        <f>IF(Y84&lt;&gt;0,(PerpetuityBaseValue*IF(PerpetuityGrowing=2,(1+Result!$G$28/100)^Specs!W84,1))/(1+DiscYear/100)^$W84,0)</f>
        <v>0</v>
      </c>
      <c r="AA84" s="17">
        <f t="shared" si="10"/>
        <v>0</v>
      </c>
      <c r="AB84" s="70">
        <f>IF(AA84&lt;&gt;0,(PerpetuityBaseValueEquity*IF(PerpetuityGrowing=2,1+Result!$G$108/100,1))/(1+DiscYearEquity/100)^$W84,0)</f>
        <v>0</v>
      </c>
      <c r="AC84" s="70">
        <f>IF(Y84&lt;&gt;0,(PerpetuityBaseValue*IF(PerpetuityGrowing=2,(1+Result!$G$28/100)^Specs!W84,1))/(1+Calculations!$D$1056)^$W84,0)</f>
        <v>0</v>
      </c>
      <c r="AD84" s="70">
        <f>IF(Y84&lt;&gt;0,(PerpetuityBaseValue*IF(PerpetuityGrowing=2,(1+Result!$G$28/100)^Specs!W84,1))/(1+Calculations!$D$1057)^$W84,0)</f>
        <v>0</v>
      </c>
      <c r="AE84" s="70">
        <f>IF(Y84&lt;&gt;0,(PerpetuityBaseValue*IF(PerpetuityGrowing=2,(1+Result!$G$28/100)^Specs!W84,1))/(1+Calculations!$D$1059)^$W84,0)</f>
        <v>0</v>
      </c>
      <c r="AF84" s="70">
        <f>IF(Y84&lt;&gt;0,(PerpetuityBaseValue*IF(PerpetuityGrowing=2,(1+Result!$G$28/100)^Specs!W84,1))/(1+Calculations!$D$1060)^$W84,0)</f>
        <v>0</v>
      </c>
    </row>
    <row r="85" spans="1:32" ht="12.75" customHeight="1" x14ac:dyDescent="0.35">
      <c r="A85" s="70"/>
      <c r="B85" s="17"/>
      <c r="C85" s="17"/>
      <c r="D85" s="17"/>
      <c r="E85" s="17"/>
      <c r="F85" s="92">
        <v>-2.9285530376777613E-2</v>
      </c>
      <c r="G85" s="93">
        <f t="shared" ca="1" si="7"/>
        <v>0.50339226561054007</v>
      </c>
      <c r="H85" s="17"/>
      <c r="I85" s="17"/>
      <c r="J85" s="17">
        <v>4</v>
      </c>
      <c r="K85" s="17" t="e">
        <f ca="1">MATCH(Specs!J85,Calculations!$G$17:$Q$17,0)</f>
        <v>#N/A</v>
      </c>
      <c r="L85" s="17"/>
      <c r="M85" s="171" t="s">
        <v>5233</v>
      </c>
      <c r="N85" s="170">
        <v>4</v>
      </c>
      <c r="O85" s="186" t="s">
        <v>5349</v>
      </c>
      <c r="P85" s="17"/>
      <c r="Q85" s="17"/>
      <c r="R85" s="17"/>
      <c r="S85" s="17"/>
      <c r="T85" s="17"/>
      <c r="U85" s="17"/>
      <c r="V85" s="129" t="str">
        <f t="shared" si="8"/>
        <v>7 years</v>
      </c>
      <c r="W85" s="17">
        <v>7</v>
      </c>
      <c r="X85" s="17" t="str">
        <f>IF(Language&lt;&gt;5,'Basic Values'!$B$9,IF(W85&lt;5,"lata","lat"))</f>
        <v>years</v>
      </c>
      <c r="Y85" s="17">
        <f t="shared" si="9"/>
        <v>0</v>
      </c>
      <c r="Z85" s="70">
        <f>IF(Y85&lt;&gt;0,(PerpetuityBaseValue*IF(PerpetuityGrowing=2,(1+Result!$G$28/100)^Specs!W85,1))/(1+DiscYear/100)^$W85,0)</f>
        <v>0</v>
      </c>
      <c r="AA85" s="17">
        <f t="shared" si="10"/>
        <v>0</v>
      </c>
      <c r="AB85" s="70">
        <f>IF(AA85&lt;&gt;0,(PerpetuityBaseValueEquity*IF(PerpetuityGrowing=2,1+Result!$G$108/100,1))/(1+DiscYearEquity/100)^$W85,0)</f>
        <v>0</v>
      </c>
      <c r="AC85" s="70">
        <f>IF(Y85&lt;&gt;0,(PerpetuityBaseValue*IF(PerpetuityGrowing=2,(1+Result!$G$28/100)^Specs!W85,1))/(1+Calculations!$D$1056)^$W85,0)</f>
        <v>0</v>
      </c>
      <c r="AD85" s="70">
        <f>IF(Y85&lt;&gt;0,(PerpetuityBaseValue*IF(PerpetuityGrowing=2,(1+Result!$G$28/100)^Specs!W85,1))/(1+Calculations!$D$1057)^$W85,0)</f>
        <v>0</v>
      </c>
      <c r="AE85" s="70">
        <f>IF(Y85&lt;&gt;0,(PerpetuityBaseValue*IF(PerpetuityGrowing=2,(1+Result!$G$28/100)^Specs!W85,1))/(1+Calculations!$D$1059)^$W85,0)</f>
        <v>0</v>
      </c>
      <c r="AF85" s="70">
        <f>IF(Y85&lt;&gt;0,(PerpetuityBaseValue*IF(PerpetuityGrowing=2,(1+Result!$G$28/100)^Specs!W85,1))/(1+Calculations!$D$1060)^$W85,0)</f>
        <v>0</v>
      </c>
    </row>
    <row r="86" spans="1:32" ht="12.75" customHeight="1" x14ac:dyDescent="0.35">
      <c r="A86" s="17"/>
      <c r="B86" s="17"/>
      <c r="C86" s="17"/>
      <c r="D86" s="17"/>
      <c r="E86" s="17"/>
      <c r="F86" s="92">
        <v>-1.8423470126248342E-2</v>
      </c>
      <c r="G86" s="1248">
        <f ca="1">G87</f>
        <v>0.50339226561054806</v>
      </c>
      <c r="H86" s="17"/>
      <c r="J86" s="17">
        <v>3</v>
      </c>
      <c r="K86" s="17" t="e">
        <f ca="1">MATCH(Specs!J86,Calculations!$G$17:$Q$17,0)</f>
        <v>#N/A</v>
      </c>
      <c r="L86" s="17"/>
      <c r="M86" s="171" t="s">
        <v>5234</v>
      </c>
      <c r="N86" s="170">
        <v>5</v>
      </c>
      <c r="O86" s="179" t="s">
        <v>5350</v>
      </c>
      <c r="P86" s="17"/>
      <c r="Q86" s="17"/>
      <c r="R86" s="17"/>
      <c r="S86" s="17"/>
      <c r="T86" s="17"/>
      <c r="U86" s="17"/>
      <c r="V86" s="129" t="str">
        <f t="shared" si="8"/>
        <v>8 years</v>
      </c>
      <c r="W86" s="17">
        <v>8</v>
      </c>
      <c r="X86" s="17" t="str">
        <f>IF(Language&lt;&gt;5,'Basic Values'!$B$9,IF(W86&lt;5,"lata","lat"))</f>
        <v>years</v>
      </c>
      <c r="Y86" s="17">
        <f t="shared" si="9"/>
        <v>0</v>
      </c>
      <c r="Z86" s="70">
        <f>IF(Y86&lt;&gt;0,(PerpetuityBaseValue*IF(PerpetuityGrowing=2,(1+Result!$G$28/100)^Specs!W86,1))/(1+DiscYear/100)^$W86,0)</f>
        <v>0</v>
      </c>
      <c r="AA86" s="17">
        <f t="shared" si="10"/>
        <v>0</v>
      </c>
      <c r="AB86" s="70">
        <f>IF(AA86&lt;&gt;0,(PerpetuityBaseValueEquity*IF(PerpetuityGrowing=2,1+Result!$G$108/100,1))/(1+DiscYearEquity/100)^$W86,0)</f>
        <v>0</v>
      </c>
      <c r="AC86" s="70">
        <f>IF(Y86&lt;&gt;0,(PerpetuityBaseValue*IF(PerpetuityGrowing=2,(1+Result!$G$28/100)^Specs!W86,1))/(1+Calculations!$D$1056)^$W86,0)</f>
        <v>0</v>
      </c>
      <c r="AD86" s="70">
        <f>IF(Y86&lt;&gt;0,(PerpetuityBaseValue*IF(PerpetuityGrowing=2,(1+Result!$G$28/100)^Specs!W86,1))/(1+Calculations!$D$1057)^$W86,0)</f>
        <v>0</v>
      </c>
      <c r="AE86" s="70">
        <f>IF(Y86&lt;&gt;0,(PerpetuityBaseValue*IF(PerpetuityGrowing=2,(1+Result!$G$28/100)^Specs!W86,1))/(1+Calculations!$D$1059)^$W86,0)</f>
        <v>0</v>
      </c>
      <c r="AF86" s="70">
        <f>IF(Y86&lt;&gt;0,(PerpetuityBaseValue*IF(PerpetuityGrowing=2,(1+Result!$G$28/100)^Specs!W86,1))/(1+Calculations!$D$1060)^$W86,0)</f>
        <v>0</v>
      </c>
    </row>
    <row r="87" spans="1:32" ht="12.75" customHeight="1" x14ac:dyDescent="0.35">
      <c r="A87" s="17"/>
      <c r="B87" s="17"/>
      <c r="C87" s="17"/>
      <c r="D87" s="17"/>
      <c r="E87" s="17"/>
      <c r="F87" s="92">
        <v>-8.7416109546967213E-3</v>
      </c>
      <c r="G87" s="93">
        <f t="shared" ca="1" si="7"/>
        <v>0.50339226561054806</v>
      </c>
      <c r="H87" s="17"/>
      <c r="J87" s="17">
        <v>2</v>
      </c>
      <c r="K87" s="17" t="e">
        <f ca="1">MATCH(Specs!J87,Calculations!$G$17:$Q$17,0)</f>
        <v>#N/A</v>
      </c>
      <c r="L87" s="17"/>
      <c r="M87" s="172" t="s">
        <v>5235</v>
      </c>
      <c r="N87" s="170">
        <v>6</v>
      </c>
      <c r="O87" s="179" t="s">
        <v>5351</v>
      </c>
      <c r="P87" s="17"/>
      <c r="Q87" s="17"/>
      <c r="R87" s="17"/>
      <c r="S87" s="17"/>
      <c r="T87" s="17"/>
      <c r="U87" s="17"/>
      <c r="V87" s="129" t="str">
        <f t="shared" si="8"/>
        <v>9 years</v>
      </c>
      <c r="W87" s="17">
        <v>9</v>
      </c>
      <c r="X87" s="17" t="str">
        <f>IF(Language&lt;&gt;5,'Basic Values'!$B$9,IF(W87&lt;5,"lata","lat"))</f>
        <v>years</v>
      </c>
      <c r="Y87" s="17">
        <f t="shared" si="9"/>
        <v>0</v>
      </c>
      <c r="Z87" s="70">
        <f>IF(Y87&lt;&gt;0,(PerpetuityBaseValue*IF(PerpetuityGrowing=2,(1+Result!$G$28/100)^Specs!W87,1))/(1+DiscYear/100)^$W87,0)</f>
        <v>0</v>
      </c>
      <c r="AA87" s="17">
        <f t="shared" si="10"/>
        <v>0</v>
      </c>
      <c r="AB87" s="70">
        <f>IF(AA87&lt;&gt;0,(PerpetuityBaseValueEquity*IF(PerpetuityGrowing=2,1+Result!$G$108/100,1))/(1+DiscYearEquity/100)^$W87,0)</f>
        <v>0</v>
      </c>
      <c r="AC87" s="70">
        <f>IF(Y87&lt;&gt;0,(PerpetuityBaseValue*IF(PerpetuityGrowing=2,(1+Result!$G$28/100)^Specs!W87,1))/(1+Calculations!$D$1056)^$W87,0)</f>
        <v>0</v>
      </c>
      <c r="AD87" s="70">
        <f>IF(Y87&lt;&gt;0,(PerpetuityBaseValue*IF(PerpetuityGrowing=2,(1+Result!$G$28/100)^Specs!W87,1))/(1+Calculations!$D$1057)^$W87,0)</f>
        <v>0</v>
      </c>
      <c r="AE87" s="70">
        <f>IF(Y87&lt;&gt;0,(PerpetuityBaseValue*IF(PerpetuityGrowing=2,(1+Result!$G$28/100)^Specs!W87,1))/(1+Calculations!$D$1059)^$W87,0)</f>
        <v>0</v>
      </c>
      <c r="AF87" s="70">
        <f>IF(Y87&lt;&gt;0,(PerpetuityBaseValue*IF(PerpetuityGrowing=2,(1+Result!$G$28/100)^Specs!W87,1))/(1+Calculations!$D$1060)^$W87,0)</f>
        <v>0</v>
      </c>
    </row>
    <row r="88" spans="1:32" ht="12.75" customHeight="1" x14ac:dyDescent="0.35">
      <c r="A88" s="17"/>
      <c r="B88" s="17"/>
      <c r="C88" s="17"/>
      <c r="D88" s="17"/>
      <c r="E88" s="17"/>
      <c r="F88" s="92">
        <v>-4.2653187775606449E-3</v>
      </c>
      <c r="G88" s="93">
        <f t="shared" ca="1" si="7"/>
        <v>0.50339226561054806</v>
      </c>
      <c r="H88" s="17"/>
      <c r="J88" s="17">
        <v>1</v>
      </c>
      <c r="K88" s="17">
        <f>MATCH(Specs!J88,Calculations!$G$17:$Q$17,0)</f>
        <v>2</v>
      </c>
      <c r="L88" s="17"/>
      <c r="M88" s="169" t="s">
        <v>5236</v>
      </c>
      <c r="N88" s="170">
        <v>1</v>
      </c>
      <c r="O88" s="179" t="s">
        <v>5352</v>
      </c>
      <c r="P88" s="17"/>
      <c r="Q88" s="17"/>
      <c r="R88" s="17"/>
      <c r="S88" s="17"/>
      <c r="T88" s="17"/>
      <c r="U88" s="17"/>
      <c r="V88" s="129" t="str">
        <f t="shared" si="8"/>
        <v>10 years</v>
      </c>
      <c r="W88" s="17">
        <v>10</v>
      </c>
      <c r="X88" s="17" t="str">
        <f>IF(Language&lt;&gt;5,'Basic Values'!$B$9,IF(W88&lt;5,"lata","lat"))</f>
        <v>years</v>
      </c>
      <c r="Y88" s="17">
        <f t="shared" si="9"/>
        <v>0</v>
      </c>
      <c r="Z88" s="70">
        <f>IF(Y88&lt;&gt;0,(PerpetuityBaseValue*IF(PerpetuityGrowing=2,(1+Result!$G$28/100)^Specs!W88,1))/(1+DiscYear/100)^$W88,0)</f>
        <v>0</v>
      </c>
      <c r="AA88" s="17">
        <f t="shared" si="10"/>
        <v>0</v>
      </c>
      <c r="AB88" s="70">
        <f>IF(AA88&lt;&gt;0,(PerpetuityBaseValueEquity*IF(PerpetuityGrowing=2,1+Result!$G$108/100,1))/(1+DiscYearEquity/100)^$W88,0)</f>
        <v>0</v>
      </c>
      <c r="AC88" s="70">
        <f>IF(Y88&lt;&gt;0,(PerpetuityBaseValue*IF(PerpetuityGrowing=2,(1+Result!$G$28/100)^Specs!W88,1))/(1+Calculations!$D$1056)^$W88,0)</f>
        <v>0</v>
      </c>
      <c r="AD88" s="70">
        <f>IF(Y88&lt;&gt;0,(PerpetuityBaseValue*IF(PerpetuityGrowing=2,(1+Result!$G$28/100)^Specs!W88,1))/(1+Calculations!$D$1057)^$W88,0)</f>
        <v>0</v>
      </c>
      <c r="AE88" s="70">
        <f>IF(Y88&lt;&gt;0,(PerpetuityBaseValue*IF(PerpetuityGrowing=2,(1+Result!$G$28/100)^Specs!W88,1))/(1+Calculations!$D$1059)^$W88,0)</f>
        <v>0</v>
      </c>
      <c r="AF88" s="70">
        <f>IF(Y88&lt;&gt;0,(PerpetuityBaseValue*IF(PerpetuityGrowing=2,(1+Result!$G$28/100)^Specs!W88,1))/(1+Calculations!$D$1060)^$W88,0)</f>
        <v>0</v>
      </c>
    </row>
    <row r="89" spans="1:32" ht="12.75" customHeight="1" x14ac:dyDescent="0.35">
      <c r="A89" s="17"/>
      <c r="B89" s="17"/>
      <c r="C89" s="17"/>
      <c r="D89" s="17"/>
      <c r="E89" s="17"/>
      <c r="F89" s="92">
        <v>1</v>
      </c>
      <c r="G89" s="93">
        <f t="shared" ca="1" si="7"/>
        <v>0.50339226561054806</v>
      </c>
      <c r="H89" s="17"/>
      <c r="J89" s="17"/>
      <c r="K89" s="17">
        <f ca="1">COUNT($K$83:$K$88)</f>
        <v>2</v>
      </c>
      <c r="L89" s="17"/>
      <c r="M89" s="171" t="s">
        <v>5237</v>
      </c>
      <c r="N89" s="170">
        <v>2</v>
      </c>
      <c r="O89" s="179" t="s">
        <v>5353</v>
      </c>
      <c r="P89" s="17"/>
      <c r="Q89" s="17"/>
      <c r="R89" s="17"/>
      <c r="S89" s="17"/>
      <c r="T89" s="17"/>
      <c r="U89" s="17"/>
      <c r="V89" s="129" t="str">
        <f t="shared" si="8"/>
        <v>11 years</v>
      </c>
      <c r="W89" s="17">
        <v>11</v>
      </c>
      <c r="X89" s="17" t="str">
        <f>IF(Language&lt;&gt;5,'Basic Values'!$B$9,IF(W89&lt;5,"lata","lat"))</f>
        <v>years</v>
      </c>
      <c r="Y89" s="17">
        <f t="shared" si="9"/>
        <v>0</v>
      </c>
      <c r="Z89" s="70">
        <f>IF(Y89&lt;&gt;0,(PerpetuityBaseValue*IF(PerpetuityGrowing=2,(1+Result!$G$28/100)^Specs!W89,1))/(1+DiscYear/100)^$W89,0)</f>
        <v>0</v>
      </c>
      <c r="AA89" s="17">
        <f t="shared" si="10"/>
        <v>0</v>
      </c>
      <c r="AB89" s="70">
        <f>IF(AA89&lt;&gt;0,(PerpetuityBaseValueEquity*IF(PerpetuityGrowing=2,1+Result!$G$108/100,1))/(1+DiscYearEquity/100)^$W89,0)</f>
        <v>0</v>
      </c>
      <c r="AC89" s="70">
        <f>IF(Y89&lt;&gt;0,(PerpetuityBaseValue*IF(PerpetuityGrowing=2,(1+Result!$G$28/100)^Specs!W89,1))/(1+Calculations!$D$1056)^$W89,0)</f>
        <v>0</v>
      </c>
      <c r="AD89" s="70">
        <f>IF(Y89&lt;&gt;0,(PerpetuityBaseValue*IF(PerpetuityGrowing=2,(1+Result!$G$28/100)^Specs!W89,1))/(1+Calculations!$D$1057)^$W89,0)</f>
        <v>0</v>
      </c>
      <c r="AE89" s="70">
        <f>IF(Y89&lt;&gt;0,(PerpetuityBaseValue*IF(PerpetuityGrowing=2,(1+Result!$G$28/100)^Specs!W89,1))/(1+Calculations!$D$1059)^$W89,0)</f>
        <v>0</v>
      </c>
      <c r="AF89" s="70">
        <f>IF(Y89&lt;&gt;0,(PerpetuityBaseValue*IF(PerpetuityGrowing=2,(1+Result!$G$28/100)^Specs!W89,1))/(1+Calculations!$D$1060)^$W89,0)</f>
        <v>0</v>
      </c>
    </row>
    <row r="90" spans="1:32" ht="12.75" customHeight="1" x14ac:dyDescent="0.35">
      <c r="A90" s="17"/>
      <c r="B90" s="17"/>
      <c r="C90" s="17"/>
      <c r="D90" s="17"/>
      <c r="E90" s="17"/>
      <c r="F90" s="92">
        <v>9.5872691135244326E-2</v>
      </c>
      <c r="G90" s="93">
        <f t="shared" ca="1" si="7"/>
        <v>0.50339226561054806</v>
      </c>
      <c r="H90" s="17"/>
      <c r="I90" s="17"/>
      <c r="J90" s="17"/>
      <c r="K90" s="17">
        <f ca="1">IF(K89=1,OFFSET(Calculations!$G$17,0,1),0)</f>
        <v>0</v>
      </c>
      <c r="L90" s="17"/>
      <c r="M90" s="171" t="s">
        <v>5238</v>
      </c>
      <c r="N90" s="170">
        <v>3</v>
      </c>
      <c r="O90" s="178" t="s">
        <v>5354</v>
      </c>
      <c r="P90" s="17"/>
      <c r="Q90" s="17"/>
      <c r="R90" s="17"/>
      <c r="S90" s="17"/>
      <c r="T90" s="17"/>
      <c r="U90" s="17"/>
      <c r="V90" s="129" t="str">
        <f t="shared" si="8"/>
        <v>12 years</v>
      </c>
      <c r="W90" s="17">
        <v>12</v>
      </c>
      <c r="X90" s="17" t="str">
        <f>IF(Language&lt;&gt;5,'Basic Values'!$B$9,IF(W90&lt;5,"lata","lat"))</f>
        <v>years</v>
      </c>
      <c r="Y90" s="17">
        <f t="shared" si="9"/>
        <v>0</v>
      </c>
      <c r="Z90" s="70">
        <f>IF(Y90&lt;&gt;0,(PerpetuityBaseValue*IF(PerpetuityGrowing=2,(1+Result!$G$28/100)^Specs!W90,1))/(1+DiscYear/100)^$W90,0)</f>
        <v>0</v>
      </c>
      <c r="AA90" s="17">
        <f t="shared" si="10"/>
        <v>0</v>
      </c>
      <c r="AB90" s="70">
        <f>IF(AA90&lt;&gt;0,(PerpetuityBaseValueEquity*IF(PerpetuityGrowing=2,1+Result!$G$108/100,1))/(1+DiscYearEquity/100)^$W90,0)</f>
        <v>0</v>
      </c>
      <c r="AC90" s="70">
        <f>IF(Y90&lt;&gt;0,(PerpetuityBaseValue*IF(PerpetuityGrowing=2,(1+Result!$G$28/100)^Specs!W90,1))/(1+Calculations!$D$1056)^$W90,0)</f>
        <v>0</v>
      </c>
      <c r="AD90" s="70">
        <f>IF(Y90&lt;&gt;0,(PerpetuityBaseValue*IF(PerpetuityGrowing=2,(1+Result!$G$28/100)^Specs!W90,1))/(1+Calculations!$D$1057)^$W90,0)</f>
        <v>0</v>
      </c>
      <c r="AE90" s="70">
        <f>IF(Y90&lt;&gt;0,(PerpetuityBaseValue*IF(PerpetuityGrowing=2,(1+Result!$G$28/100)^Specs!W90,1))/(1+Calculations!$D$1059)^$W90,0)</f>
        <v>0</v>
      </c>
      <c r="AF90" s="70">
        <f>IF(Y90&lt;&gt;0,(PerpetuityBaseValue*IF(PerpetuityGrowing=2,(1+Result!$G$28/100)^Specs!W90,1))/(1+Calculations!$D$1060)^$W90,0)</f>
        <v>0</v>
      </c>
    </row>
    <row r="91" spans="1:32" ht="12.75" customHeight="1" x14ac:dyDescent="0.35">
      <c r="A91" s="17"/>
      <c r="B91" s="17"/>
      <c r="C91" s="17"/>
      <c r="D91" s="17"/>
      <c r="E91" s="17"/>
      <c r="F91" s="92">
        <v>5.946309435929531E-2</v>
      </c>
      <c r="G91" s="1248">
        <f ca="1">G92</f>
        <v>0.50339226561055161</v>
      </c>
      <c r="H91" s="17"/>
      <c r="I91" s="17"/>
      <c r="J91" s="17"/>
      <c r="K91" s="17" t="e">
        <f ca="1">IF(K90&lt;&gt;0,(1+IRR(Calculations!$G$1218:$Q$1218))^(12/K90)-1,NA())</f>
        <v>#N/A</v>
      </c>
      <c r="L91" s="17"/>
      <c r="M91" s="171" t="s">
        <v>5239</v>
      </c>
      <c r="N91" s="170">
        <v>4</v>
      </c>
      <c r="O91" s="17"/>
      <c r="P91" s="17"/>
      <c r="Q91" s="17"/>
      <c r="R91" s="17"/>
      <c r="S91" s="17"/>
      <c r="T91" s="17"/>
      <c r="U91" s="17"/>
      <c r="V91" s="129" t="str">
        <f t="shared" si="8"/>
        <v>13 years</v>
      </c>
      <c r="W91" s="17">
        <v>13</v>
      </c>
      <c r="X91" s="17" t="str">
        <f>IF(Language&lt;&gt;5,'Basic Values'!$B$9,IF(W91&lt;5,"lata","lat"))</f>
        <v>years</v>
      </c>
      <c r="Y91" s="17">
        <f t="shared" si="9"/>
        <v>0</v>
      </c>
      <c r="Z91" s="70">
        <f>IF(Y91&lt;&gt;0,(PerpetuityBaseValue*IF(PerpetuityGrowing=2,(1+Result!$G$28/100)^Specs!W91,1))/(1+DiscYear/100)^$W91,0)</f>
        <v>0</v>
      </c>
      <c r="AA91" s="17">
        <f t="shared" si="10"/>
        <v>0</v>
      </c>
      <c r="AB91" s="70">
        <f>IF(AA91&lt;&gt;0,(PerpetuityBaseValueEquity*IF(PerpetuityGrowing=2,1+Result!$G$108/100,1))/(1+DiscYearEquity/100)^$W91,0)</f>
        <v>0</v>
      </c>
      <c r="AC91" s="70">
        <f>IF(Y91&lt;&gt;0,(PerpetuityBaseValue*IF(PerpetuityGrowing=2,(1+Result!$G$28/100)^Specs!W91,1))/(1+Calculations!$D$1056)^$W91,0)</f>
        <v>0</v>
      </c>
      <c r="AD91" s="70">
        <f>IF(Y91&lt;&gt;0,(PerpetuityBaseValue*IF(PerpetuityGrowing=2,(1+Result!$G$28/100)^Specs!W91,1))/(1+Calculations!$D$1057)^$W91,0)</f>
        <v>0</v>
      </c>
      <c r="AE91" s="70">
        <f>IF(Y91&lt;&gt;0,(PerpetuityBaseValue*IF(PerpetuityGrowing=2,(1+Result!$G$28/100)^Specs!W91,1))/(1+Calculations!$D$1059)^$W91,0)</f>
        <v>0</v>
      </c>
      <c r="AF91" s="70">
        <f>IF(Y91&lt;&gt;0,(PerpetuityBaseValue*IF(PerpetuityGrowing=2,(1+Result!$G$28/100)^Specs!W91,1))/(1+Calculations!$D$1060)^$W91,0)</f>
        <v>0</v>
      </c>
    </row>
    <row r="92" spans="1:32" ht="12.75" customHeight="1" x14ac:dyDescent="0.35">
      <c r="A92" s="17"/>
      <c r="B92" s="17"/>
      <c r="C92" s="17"/>
      <c r="D92" s="17"/>
      <c r="E92" s="17"/>
      <c r="F92" s="92">
        <v>4.521125295294337E-2</v>
      </c>
      <c r="G92" s="93">
        <f t="shared" ca="1" si="7"/>
        <v>0.50339226561055161</v>
      </c>
      <c r="H92" s="17"/>
      <c r="I92"/>
      <c r="J92" s="17"/>
      <c r="K92" s="17"/>
      <c r="L92" s="17"/>
      <c r="M92" s="171" t="s">
        <v>5240</v>
      </c>
      <c r="N92" s="170">
        <v>5</v>
      </c>
      <c r="O92" s="167" t="s">
        <v>5355</v>
      </c>
      <c r="P92" s="17"/>
      <c r="Q92" s="17"/>
      <c r="R92" s="17"/>
      <c r="S92" s="17"/>
      <c r="T92" s="17"/>
      <c r="U92" s="17"/>
      <c r="V92" s="129" t="str">
        <f t="shared" si="8"/>
        <v>14 years</v>
      </c>
      <c r="W92" s="17">
        <v>14</v>
      </c>
      <c r="X92" s="17" t="str">
        <f>IF(Language&lt;&gt;5,'Basic Values'!$B$9,IF(W92&lt;5,"lata","lat"))</f>
        <v>years</v>
      </c>
      <c r="Y92" s="17">
        <f t="shared" si="9"/>
        <v>0</v>
      </c>
      <c r="Z92" s="70">
        <f>IF(Y92&lt;&gt;0,(PerpetuityBaseValue*IF(PerpetuityGrowing=2,(1+Result!$G$28/100)^Specs!W92,1))/(1+DiscYear/100)^$W92,0)</f>
        <v>0</v>
      </c>
      <c r="AA92" s="17">
        <f t="shared" si="10"/>
        <v>0</v>
      </c>
      <c r="AB92" s="70">
        <f>IF(AA92&lt;&gt;0,(PerpetuityBaseValueEquity*IF(PerpetuityGrowing=2,1+Result!$G$108/100,1))/(1+DiscYearEquity/100)^$W92,0)</f>
        <v>0</v>
      </c>
      <c r="AC92" s="70">
        <f>IF(Y92&lt;&gt;0,(PerpetuityBaseValue*IF(PerpetuityGrowing=2,(1+Result!$G$28/100)^Specs!W92,1))/(1+Calculations!$D$1056)^$W92,0)</f>
        <v>0</v>
      </c>
      <c r="AD92" s="70">
        <f>IF(Y92&lt;&gt;0,(PerpetuityBaseValue*IF(PerpetuityGrowing=2,(1+Result!$G$28/100)^Specs!W92,1))/(1+Calculations!$D$1057)^$W92,0)</f>
        <v>0</v>
      </c>
      <c r="AE92" s="70">
        <f>IF(Y92&lt;&gt;0,(PerpetuityBaseValue*IF(PerpetuityGrowing=2,(1+Result!$G$28/100)^Specs!W92,1))/(1+Calculations!$D$1059)^$W92,0)</f>
        <v>0</v>
      </c>
      <c r="AF92" s="70">
        <f>IF(Y92&lt;&gt;0,(PerpetuityBaseValue*IF(PerpetuityGrowing=2,(1+Result!$G$28/100)^Specs!W92,1))/(1+Calculations!$D$1060)^$W92,0)</f>
        <v>0</v>
      </c>
    </row>
    <row r="93" spans="1:32" ht="12.75" customHeight="1" x14ac:dyDescent="0.35">
      <c r="A93" s="17"/>
      <c r="B93" s="17"/>
      <c r="C93" s="17"/>
      <c r="D93" s="17"/>
      <c r="E93" s="17"/>
      <c r="F93" s="92">
        <v>2.8436155726361267E-2</v>
      </c>
      <c r="G93" s="1248">
        <f ca="1">G94</f>
        <v>0.50339226561054806</v>
      </c>
      <c r="H93" s="17"/>
      <c r="I93"/>
      <c r="J93" s="17"/>
      <c r="K93" s="17"/>
      <c r="L93" s="17"/>
      <c r="M93" s="172" t="s">
        <v>5241</v>
      </c>
      <c r="N93" s="170">
        <v>6</v>
      </c>
      <c r="O93" s="186" t="s">
        <v>5341</v>
      </c>
      <c r="P93" s="17"/>
      <c r="Q93" s="17"/>
      <c r="R93" s="17"/>
      <c r="S93" s="17"/>
      <c r="T93" s="17"/>
      <c r="U93" s="17"/>
      <c r="V93" s="129" t="str">
        <f t="shared" si="8"/>
        <v>15 years</v>
      </c>
      <c r="W93" s="17">
        <v>15</v>
      </c>
      <c r="X93" s="17" t="str">
        <f>IF(Language&lt;&gt;5,'Basic Values'!$B$9,IF(W93&lt;5,"lata","lat"))</f>
        <v>years</v>
      </c>
      <c r="Y93" s="17">
        <f t="shared" si="9"/>
        <v>0</v>
      </c>
      <c r="Z93" s="70">
        <f>IF(Y93&lt;&gt;0,(PerpetuityBaseValue*IF(PerpetuityGrowing=2,(1+Result!$G$28/100)^Specs!W93,1))/(1+DiscYear/100)^$W93,0)</f>
        <v>0</v>
      </c>
      <c r="AA93" s="17">
        <f t="shared" si="10"/>
        <v>0</v>
      </c>
      <c r="AB93" s="70">
        <f>IF(AA93&lt;&gt;0,(PerpetuityBaseValueEquity*IF(PerpetuityGrowing=2,1+Result!$G$108/100,1))/(1+DiscYearEquity/100)^$W93,0)</f>
        <v>0</v>
      </c>
      <c r="AC93" s="70">
        <f>IF(Y93&lt;&gt;0,(PerpetuityBaseValue*IF(PerpetuityGrowing=2,(1+Result!$G$28/100)^Specs!W93,1))/(1+Calculations!$D$1056)^$W93,0)</f>
        <v>0</v>
      </c>
      <c r="AD93" s="70">
        <f>IF(Y93&lt;&gt;0,(PerpetuityBaseValue*IF(PerpetuityGrowing=2,(1+Result!$G$28/100)^Specs!W93,1))/(1+Calculations!$D$1057)^$W93,0)</f>
        <v>0</v>
      </c>
      <c r="AE93" s="70">
        <f>IF(Y93&lt;&gt;0,(PerpetuityBaseValue*IF(PerpetuityGrowing=2,(1+Result!$G$28/100)^Specs!W93,1))/(1+Calculations!$D$1059)^$W93,0)</f>
        <v>0</v>
      </c>
      <c r="AF93" s="70">
        <f>IF(Y93&lt;&gt;0,(PerpetuityBaseValue*IF(PerpetuityGrowing=2,(1+Result!$G$28/100)^Specs!W93,1))/(1+Calculations!$D$1060)^$W93,0)</f>
        <v>0</v>
      </c>
    </row>
    <row r="94" spans="1:32" ht="12.75" customHeight="1" x14ac:dyDescent="0.35">
      <c r="A94" s="17"/>
      <c r="B94" s="17"/>
      <c r="C94" s="17"/>
      <c r="D94" s="17"/>
      <c r="E94" s="17"/>
      <c r="F94" s="92">
        <v>1.5309470499731193E-2</v>
      </c>
      <c r="G94" s="93">
        <f t="shared" ca="1" si="7"/>
        <v>0.50339226561054806</v>
      </c>
      <c r="H94" s="17"/>
      <c r="I94"/>
      <c r="J94" s="17"/>
      <c r="K94" s="17"/>
      <c r="L94" s="17"/>
      <c r="M94" s="169" t="s">
        <v>5242</v>
      </c>
      <c r="N94" s="170">
        <v>1</v>
      </c>
      <c r="O94" s="179" t="s">
        <v>5345</v>
      </c>
      <c r="P94" s="17"/>
      <c r="Q94" s="17"/>
      <c r="R94" s="17"/>
      <c r="S94" s="17"/>
      <c r="T94" s="17"/>
      <c r="U94" s="17"/>
      <c r="V94" s="129" t="str">
        <f t="shared" si="8"/>
        <v>16 years</v>
      </c>
      <c r="W94" s="17">
        <v>16</v>
      </c>
      <c r="X94" s="17" t="str">
        <f>IF(Language&lt;&gt;5,'Basic Values'!$B$9,IF(W94&lt;5,"lata","lat"))</f>
        <v>years</v>
      </c>
      <c r="Y94" s="17">
        <f t="shared" si="9"/>
        <v>0</v>
      </c>
      <c r="Z94" s="70">
        <f>IF(Y94&lt;&gt;0,(PerpetuityBaseValue*IF(PerpetuityGrowing=2,(1+Result!$G$28/100)^Specs!W94,1))/(1+DiscYear/100)^$W94,0)</f>
        <v>0</v>
      </c>
      <c r="AA94" s="17">
        <f t="shared" si="10"/>
        <v>0</v>
      </c>
      <c r="AB94" s="70">
        <f>IF(AA94&lt;&gt;0,(PerpetuityBaseValueEquity*IF(PerpetuityGrowing=2,1+Result!$G$108/100,1))/(1+DiscYearEquity/100)^$W94,0)</f>
        <v>0</v>
      </c>
      <c r="AC94" s="70">
        <f>IF(Y94&lt;&gt;0,(PerpetuityBaseValue*IF(PerpetuityGrowing=2,(1+Result!$G$28/100)^Specs!W94,1))/(1+Calculations!$D$1056)^$W94,0)</f>
        <v>0</v>
      </c>
      <c r="AD94" s="70">
        <f>IF(Y94&lt;&gt;0,(PerpetuityBaseValue*IF(PerpetuityGrowing=2,(1+Result!$G$28/100)^Specs!W94,1))/(1+Calculations!$D$1057)^$W94,0)</f>
        <v>0</v>
      </c>
      <c r="AE94" s="70">
        <f>IF(Y94&lt;&gt;0,(PerpetuityBaseValue*IF(PerpetuityGrowing=2,(1+Result!$G$28/100)^Specs!W94,1))/(1+Calculations!$D$1059)^$W94,0)</f>
        <v>0</v>
      </c>
      <c r="AF94" s="70">
        <f>IF(Y94&lt;&gt;0,(PerpetuityBaseValue*IF(PerpetuityGrowing=2,(1+Result!$G$28/100)^Specs!W94,1))/(1+Calculations!$D$1060)^$W94,0)</f>
        <v>0</v>
      </c>
    </row>
    <row r="95" spans="1:32" ht="12.75" customHeight="1" x14ac:dyDescent="0.35">
      <c r="A95" s="17"/>
      <c r="B95" s="17"/>
      <c r="C95" s="17"/>
      <c r="D95" s="17"/>
      <c r="E95" s="17"/>
      <c r="F95" s="92">
        <v>7.9741404289037643E-3</v>
      </c>
      <c r="G95" s="1248">
        <f ca="1">G96</f>
        <v>0.50339226561054806</v>
      </c>
      <c r="H95" s="17"/>
      <c r="I95"/>
      <c r="J95" s="17"/>
      <c r="K95" s="17"/>
      <c r="L95" s="17"/>
      <c r="M95" s="171" t="s">
        <v>5243</v>
      </c>
      <c r="N95" s="170">
        <v>2</v>
      </c>
      <c r="O95" s="179" t="s">
        <v>5346</v>
      </c>
      <c r="P95" s="17"/>
      <c r="Q95" s="17"/>
      <c r="R95" s="17"/>
      <c r="S95" s="17"/>
      <c r="T95" s="17"/>
      <c r="U95" s="17"/>
      <c r="V95" s="129" t="str">
        <f t="shared" si="8"/>
        <v>17 years</v>
      </c>
      <c r="W95" s="17">
        <v>17</v>
      </c>
      <c r="X95" s="17" t="str">
        <f>IF(Language&lt;&gt;5,'Basic Values'!$B$9,IF(W95&lt;5,"lata","lat"))</f>
        <v>years</v>
      </c>
      <c r="Y95" s="17">
        <f t="shared" si="9"/>
        <v>0</v>
      </c>
      <c r="Z95" s="70">
        <f>IF(Y95&lt;&gt;0,(PerpetuityBaseValue*IF(PerpetuityGrowing=2,(1+Result!$G$28/100)^Specs!W95,1))/(1+DiscYear/100)^$W95,0)</f>
        <v>0</v>
      </c>
      <c r="AA95" s="17">
        <f t="shared" si="10"/>
        <v>0</v>
      </c>
      <c r="AB95" s="70">
        <f>IF(AA95&lt;&gt;0,(PerpetuityBaseValueEquity*IF(PerpetuityGrowing=2,1+Result!$G$108/100,1))/(1+DiscYearEquity/100)^$W95,0)</f>
        <v>0</v>
      </c>
      <c r="AC95" s="70">
        <f>IF(Y95&lt;&gt;0,(PerpetuityBaseValue*IF(PerpetuityGrowing=2,(1+Result!$G$28/100)^Specs!W95,1))/(1+Calculations!$D$1056)^$W95,0)</f>
        <v>0</v>
      </c>
      <c r="AD95" s="70">
        <f>IF(Y95&lt;&gt;0,(PerpetuityBaseValue*IF(PerpetuityGrowing=2,(1+Result!$G$28/100)^Specs!W95,1))/(1+Calculations!$D$1057)^$W95,0)</f>
        <v>0</v>
      </c>
      <c r="AE95" s="70">
        <f>IF(Y95&lt;&gt;0,(PerpetuityBaseValue*IF(PerpetuityGrowing=2,(1+Result!$G$28/100)^Specs!W95,1))/(1+Calculations!$D$1059)^$W95,0)</f>
        <v>0</v>
      </c>
      <c r="AF95" s="70">
        <f>IF(Y95&lt;&gt;0,(PerpetuityBaseValue*IF(PerpetuityGrowing=2,(1+Result!$G$28/100)^Specs!W95,1))/(1+Calculations!$D$1060)^$W95,0)</f>
        <v>0</v>
      </c>
    </row>
    <row r="96" spans="1:32" ht="12.75" customHeight="1" x14ac:dyDescent="0.35">
      <c r="A96" s="17"/>
      <c r="B96" s="17"/>
      <c r="C96" s="17"/>
      <c r="D96" s="17"/>
      <c r="E96" s="17"/>
      <c r="F96" s="92">
        <v>4.0741237836483535E-3</v>
      </c>
      <c r="G96" s="93">
        <f t="shared" ca="1" si="7"/>
        <v>0.50339226561054806</v>
      </c>
      <c r="H96" s="17"/>
      <c r="I96"/>
      <c r="J96" s="17"/>
      <c r="K96" s="17"/>
      <c r="L96" s="17"/>
      <c r="M96" s="171" t="s">
        <v>5244</v>
      </c>
      <c r="N96" s="170">
        <v>3</v>
      </c>
      <c r="O96" s="179" t="s">
        <v>5347</v>
      </c>
      <c r="P96" s="17"/>
      <c r="Q96" s="17"/>
      <c r="R96" s="17"/>
      <c r="S96" s="17"/>
      <c r="T96" s="17"/>
      <c r="U96" s="17"/>
      <c r="V96" s="129" t="str">
        <f t="shared" si="8"/>
        <v>18 years</v>
      </c>
      <c r="W96" s="17">
        <v>18</v>
      </c>
      <c r="X96" s="17" t="str">
        <f>IF(Language&lt;&gt;5,'Basic Values'!$B$9,IF(W96&lt;5,"lata","lat"))</f>
        <v>years</v>
      </c>
      <c r="Y96" s="17">
        <f t="shared" si="9"/>
        <v>0</v>
      </c>
      <c r="Z96" s="70">
        <f>IF(Y96&lt;&gt;0,(PerpetuityBaseValue*IF(PerpetuityGrowing=2,(1+Result!$G$28/100)^Specs!W96,1))/(1+DiscYear/100)^$W96,0)</f>
        <v>0</v>
      </c>
      <c r="AA96" s="17">
        <f t="shared" si="10"/>
        <v>0</v>
      </c>
      <c r="AB96" s="70">
        <f>IF(AA96&lt;&gt;0,(PerpetuityBaseValueEquity*IF(PerpetuityGrowing=2,1+Result!$G$108/100,1))/(1+DiscYearEquity/100)^$W96,0)</f>
        <v>0</v>
      </c>
      <c r="AC96" s="70">
        <f>IF(Y96&lt;&gt;0,(PerpetuityBaseValue*IF(PerpetuityGrowing=2,(1+Result!$G$28/100)^Specs!W96,1))/(1+Calculations!$D$1056)^$W96,0)</f>
        <v>0</v>
      </c>
      <c r="AD96" s="70">
        <f>IF(Y96&lt;&gt;0,(PerpetuityBaseValue*IF(PerpetuityGrowing=2,(1+Result!$G$28/100)^Specs!W96,1))/(1+Calculations!$D$1057)^$W96,0)</f>
        <v>0</v>
      </c>
      <c r="AE96" s="70">
        <f>IF(Y96&lt;&gt;0,(PerpetuityBaseValue*IF(PerpetuityGrowing=2,(1+Result!$G$28/100)^Specs!W96,1))/(1+Calculations!$D$1059)^$W96,0)</f>
        <v>0</v>
      </c>
      <c r="AF96" s="70">
        <f>IF(Y96&lt;&gt;0,(PerpetuityBaseValue*IF(PerpetuityGrowing=2,(1+Result!$G$28/100)^Specs!W96,1))/(1+Calculations!$D$1060)^$W96,0)</f>
        <v>0</v>
      </c>
    </row>
    <row r="97" spans="1:32" ht="12.75" customHeight="1" x14ac:dyDescent="0.35">
      <c r="A97" s="17"/>
      <c r="B97" s="17"/>
      <c r="C97" s="17"/>
      <c r="D97" s="17"/>
      <c r="E97" s="17"/>
      <c r="F97" s="94">
        <v>2.0598362698427408E-3</v>
      </c>
      <c r="G97" s="95">
        <f t="shared" ca="1" si="7"/>
        <v>0.50339226561054384</v>
      </c>
      <c r="H97" s="17"/>
      <c r="I97"/>
      <c r="J97" s="17"/>
      <c r="K97" s="17"/>
      <c r="L97" s="17"/>
      <c r="M97" s="171" t="s">
        <v>5245</v>
      </c>
      <c r="N97" s="170">
        <v>4</v>
      </c>
      <c r="O97" s="178" t="s">
        <v>5348</v>
      </c>
      <c r="P97" s="17"/>
      <c r="Q97" s="17"/>
      <c r="R97" s="17"/>
      <c r="S97" s="17"/>
      <c r="T97" s="17"/>
      <c r="U97" s="17"/>
      <c r="V97" s="129" t="str">
        <f t="shared" si="8"/>
        <v>19 years</v>
      </c>
      <c r="W97" s="17">
        <v>19</v>
      </c>
      <c r="X97" s="17" t="str">
        <f>IF(Language&lt;&gt;5,'Basic Values'!$B$9,IF(W97&lt;5,"lata","lat"))</f>
        <v>years</v>
      </c>
      <c r="Y97" s="17">
        <f t="shared" si="9"/>
        <v>0</v>
      </c>
      <c r="Z97" s="70">
        <f>IF(Y97&lt;&gt;0,(PerpetuityBaseValue*IF(PerpetuityGrowing=2,(1+Result!$G$28/100)^Specs!W97,1))/(1+DiscYear/100)^$W97,0)</f>
        <v>0</v>
      </c>
      <c r="AA97" s="17">
        <f t="shared" si="10"/>
        <v>0</v>
      </c>
      <c r="AB97" s="70">
        <f>IF(AA97&lt;&gt;0,(PerpetuityBaseValueEquity*IF(PerpetuityGrowing=2,1+Result!$G$108/100,1))/(1+DiscYearEquity/100)^$W97,0)</f>
        <v>0</v>
      </c>
      <c r="AC97" s="70">
        <f>IF(Y97&lt;&gt;0,(PerpetuityBaseValue*IF(PerpetuityGrowing=2,(1+Result!$G$28/100)^Specs!W97,1))/(1+Calculations!$D$1056)^$W97,0)</f>
        <v>0</v>
      </c>
      <c r="AD97" s="70">
        <f>IF(Y97&lt;&gt;0,(PerpetuityBaseValue*IF(PerpetuityGrowing=2,(1+Result!$G$28/100)^Specs!W97,1))/(1+Calculations!$D$1057)^$W97,0)</f>
        <v>0</v>
      </c>
      <c r="AE97" s="70">
        <f>IF(Y97&lt;&gt;0,(PerpetuityBaseValue*IF(PerpetuityGrowing=2,(1+Result!$G$28/100)^Specs!W97,1))/(1+Calculations!$D$1059)^$W97,0)</f>
        <v>0</v>
      </c>
      <c r="AF97" s="70">
        <f>IF(Y97&lt;&gt;0,(PerpetuityBaseValue*IF(PerpetuityGrowing=2,(1+Result!$G$28/100)^Specs!W97,1))/(1+Calculations!$D$1060)^$W97,0)</f>
        <v>0</v>
      </c>
    </row>
    <row r="98" spans="1:32" ht="12.75" customHeight="1" x14ac:dyDescent="0.35">
      <c r="A98" s="17"/>
      <c r="B98" s="17"/>
      <c r="C98" s="17"/>
      <c r="D98" s="17"/>
      <c r="E98" s="17"/>
      <c r="F98" s="17"/>
      <c r="G98" s="21">
        <f ca="1">MATCH(1,G99:G120,0)</f>
        <v>1</v>
      </c>
      <c r="H98" s="17"/>
      <c r="I98"/>
      <c r="J98" s="17"/>
      <c r="K98" s="17"/>
      <c r="L98" s="17"/>
      <c r="M98" s="171" t="s">
        <v>5246</v>
      </c>
      <c r="N98" s="170">
        <v>5</v>
      </c>
      <c r="O98" s="186" t="s">
        <v>5349</v>
      </c>
      <c r="P98" s="17"/>
      <c r="Q98" s="17"/>
      <c r="R98" s="17"/>
      <c r="S98" s="17"/>
      <c r="T98" s="17"/>
      <c r="U98" s="17"/>
      <c r="V98" s="129" t="str">
        <f t="shared" si="8"/>
        <v>20 years</v>
      </c>
      <c r="W98" s="17">
        <v>20</v>
      </c>
      <c r="X98" s="17" t="str">
        <f>IF(Language&lt;&gt;5,'Basic Values'!$B$9,IF(W98&lt;5,"lata","lat"))</f>
        <v>years</v>
      </c>
      <c r="Y98" s="17">
        <f t="shared" si="9"/>
        <v>0</v>
      </c>
      <c r="Z98" s="70">
        <f>IF(Y98&lt;&gt;0,(PerpetuityBaseValue*IF(PerpetuityGrowing=2,(1+Result!$G$28/100)^Specs!W98,1))/(1+DiscYear/100)^$W98,0)</f>
        <v>0</v>
      </c>
      <c r="AA98" s="17">
        <f t="shared" si="10"/>
        <v>0</v>
      </c>
      <c r="AB98" s="70">
        <f>IF(AA98&lt;&gt;0,(PerpetuityBaseValueEquity*IF(PerpetuityGrowing=2,1+Result!$G$108/100,1))/(1+DiscYearEquity/100)^$W98,0)</f>
        <v>0</v>
      </c>
      <c r="AC98" s="70">
        <f>IF(Y98&lt;&gt;0,(PerpetuityBaseValue*IF(PerpetuityGrowing=2,(1+Result!$G$28/100)^Specs!W98,1))/(1+Calculations!$D$1056)^$W98,0)</f>
        <v>0</v>
      </c>
      <c r="AD98" s="70">
        <f>IF(Y98&lt;&gt;0,(PerpetuityBaseValue*IF(PerpetuityGrowing=2,(1+Result!$G$28/100)^Specs!W98,1))/(1+Calculations!$D$1057)^$W98,0)</f>
        <v>0</v>
      </c>
      <c r="AE98" s="70">
        <f>IF(Y98&lt;&gt;0,(PerpetuityBaseValue*IF(PerpetuityGrowing=2,(1+Result!$G$28/100)^Specs!W98,1))/(1+Calculations!$D$1059)^$W98,0)</f>
        <v>0</v>
      </c>
      <c r="AF98" s="70">
        <f>IF(Y98&lt;&gt;0,(PerpetuityBaseValue*IF(PerpetuityGrowing=2,(1+Result!$G$28/100)^Specs!W98,1))/(1+Calculations!$D$1060)^$W98,0)</f>
        <v>0</v>
      </c>
    </row>
    <row r="99" spans="1:32" ht="12.75" customHeight="1" x14ac:dyDescent="0.35">
      <c r="A99" s="17"/>
      <c r="B99" s="17"/>
      <c r="C99" s="17"/>
      <c r="D99" s="17"/>
      <c r="E99" s="17"/>
      <c r="F99" s="29">
        <f t="shared" ref="F99:F120" ca="1" si="11">IF(G99=1,G76,$G$75)</f>
        <v>0.50339226561054806</v>
      </c>
      <c r="G99" s="91">
        <f t="shared" ref="G99:G120" ca="1" si="12">IF(ISERROR(G76),0,1)</f>
        <v>1</v>
      </c>
      <c r="H99" s="17"/>
      <c r="I99"/>
      <c r="J99" s="17"/>
      <c r="K99" s="17"/>
      <c r="L99" s="17"/>
      <c r="M99" s="172" t="s">
        <v>5247</v>
      </c>
      <c r="N99" s="170">
        <v>6</v>
      </c>
      <c r="O99" s="179" t="s">
        <v>5353</v>
      </c>
      <c r="P99" s="17"/>
      <c r="Q99" s="17"/>
      <c r="R99" s="17"/>
      <c r="S99" s="17"/>
      <c r="T99" s="17"/>
      <c r="U99" s="17"/>
      <c r="V99" s="129" t="str">
        <f t="shared" si="8"/>
        <v>21 years</v>
      </c>
      <c r="W99" s="17">
        <v>21</v>
      </c>
      <c r="X99" s="17" t="str">
        <f>IF(Language&lt;&gt;5,'Basic Values'!$B$9,IF(W99&lt;5,"lata","lat"))</f>
        <v>years</v>
      </c>
      <c r="Y99" s="17">
        <f t="shared" si="9"/>
        <v>0</v>
      </c>
      <c r="Z99" s="70">
        <f>IF(Y99&lt;&gt;0,(PerpetuityBaseValue*IF(PerpetuityGrowing=2,(1+Result!$G$28/100)^Specs!W99,1))/(1+DiscYear/100)^$W99,0)</f>
        <v>0</v>
      </c>
      <c r="AA99" s="17">
        <f t="shared" si="10"/>
        <v>0</v>
      </c>
      <c r="AB99" s="70">
        <f>IF(AA99&lt;&gt;0,(PerpetuityBaseValueEquity*IF(PerpetuityGrowing=2,1+Result!$G$108/100,1))/(1+DiscYearEquity/100)^$W99,0)</f>
        <v>0</v>
      </c>
      <c r="AC99" s="70">
        <f>IF(Y99&lt;&gt;0,(PerpetuityBaseValue*IF(PerpetuityGrowing=2,(1+Result!$G$28/100)^Specs!W99,1))/(1+Calculations!$D$1056)^$W99,0)</f>
        <v>0</v>
      </c>
      <c r="AD99" s="70">
        <f>IF(Y99&lt;&gt;0,(PerpetuityBaseValue*IF(PerpetuityGrowing=2,(1+Result!$G$28/100)^Specs!W99,1))/(1+Calculations!$D$1057)^$W99,0)</f>
        <v>0</v>
      </c>
      <c r="AE99" s="70">
        <f>IF(Y99&lt;&gt;0,(PerpetuityBaseValue*IF(PerpetuityGrowing=2,(1+Result!$G$28/100)^Specs!W99,1))/(1+Calculations!$D$1059)^$W99,0)</f>
        <v>0</v>
      </c>
      <c r="AF99" s="70">
        <f>IF(Y99&lt;&gt;0,(PerpetuityBaseValue*IF(PerpetuityGrowing=2,(1+Result!$G$28/100)^Specs!W99,1))/(1+Calculations!$D$1060)^$W99,0)</f>
        <v>0</v>
      </c>
    </row>
    <row r="100" spans="1:32" ht="12.75" customHeight="1" x14ac:dyDescent="0.35">
      <c r="A100" s="17"/>
      <c r="B100" s="17"/>
      <c r="C100" s="17"/>
      <c r="D100" s="17"/>
      <c r="E100" s="17"/>
      <c r="F100" s="36">
        <f t="shared" ca="1" si="11"/>
        <v>0.50339226561054384</v>
      </c>
      <c r="G100" s="93">
        <f t="shared" ca="1" si="12"/>
        <v>1</v>
      </c>
      <c r="H100" s="17"/>
      <c r="I100"/>
      <c r="J100" s="17"/>
      <c r="K100" s="17"/>
      <c r="L100" s="17"/>
      <c r="M100" s="169" t="s">
        <v>5248</v>
      </c>
      <c r="N100" s="170">
        <v>1</v>
      </c>
      <c r="O100" s="178" t="s">
        <v>5354</v>
      </c>
      <c r="P100" s="17"/>
      <c r="Q100" s="17"/>
      <c r="R100" s="17"/>
      <c r="S100" s="17"/>
      <c r="T100" s="17"/>
      <c r="U100" s="17"/>
      <c r="V100" s="129" t="str">
        <f t="shared" si="8"/>
        <v>22 years</v>
      </c>
      <c r="W100" s="17">
        <v>22</v>
      </c>
      <c r="X100" s="17" t="str">
        <f>IF(Language&lt;&gt;5,'Basic Values'!$B$9,IF(W100&lt;5,"lata","lat"))</f>
        <v>years</v>
      </c>
      <c r="Y100" s="17">
        <f t="shared" si="9"/>
        <v>0</v>
      </c>
      <c r="Z100" s="70">
        <f>IF(Y100&lt;&gt;0,(PerpetuityBaseValue*IF(PerpetuityGrowing=2,(1+Result!$G$28/100)^Specs!W100,1))/(1+DiscYear/100)^$W100,0)</f>
        <v>0</v>
      </c>
      <c r="AA100" s="17">
        <f t="shared" si="10"/>
        <v>0</v>
      </c>
      <c r="AB100" s="70">
        <f>IF(AA100&lt;&gt;0,(PerpetuityBaseValueEquity*IF(PerpetuityGrowing=2,1+Result!$G$108/100,1))/(1+DiscYearEquity/100)^$W100,0)</f>
        <v>0</v>
      </c>
      <c r="AC100" s="70">
        <f>IF(Y100&lt;&gt;0,(PerpetuityBaseValue*IF(PerpetuityGrowing=2,(1+Result!$G$28/100)^Specs!W100,1))/(1+Calculations!$D$1056)^$W100,0)</f>
        <v>0</v>
      </c>
      <c r="AD100" s="70">
        <f>IF(Y100&lt;&gt;0,(PerpetuityBaseValue*IF(PerpetuityGrowing=2,(1+Result!$G$28/100)^Specs!W100,1))/(1+Calculations!$D$1057)^$W100,0)</f>
        <v>0</v>
      </c>
      <c r="AE100" s="70">
        <f>IF(Y100&lt;&gt;0,(PerpetuityBaseValue*IF(PerpetuityGrowing=2,(1+Result!$G$28/100)^Specs!W100,1))/(1+Calculations!$D$1059)^$W100,0)</f>
        <v>0</v>
      </c>
      <c r="AF100" s="70">
        <f>IF(Y100&lt;&gt;0,(PerpetuityBaseValue*IF(PerpetuityGrowing=2,(1+Result!$G$28/100)^Specs!W100,1))/(1+Calculations!$D$1060)^$W100,0)</f>
        <v>0</v>
      </c>
    </row>
    <row r="101" spans="1:32" ht="12.75" customHeight="1" x14ac:dyDescent="0.35">
      <c r="A101" s="17"/>
      <c r="B101" s="17"/>
      <c r="C101" s="17"/>
      <c r="D101" s="17"/>
      <c r="E101" s="17"/>
      <c r="F101" s="36">
        <f t="shared" ca="1" si="11"/>
        <v>0.50339226561054806</v>
      </c>
      <c r="G101" s="93">
        <f t="shared" ca="1" si="12"/>
        <v>1</v>
      </c>
      <c r="H101" s="17"/>
      <c r="I101"/>
      <c r="M101" s="171" t="s">
        <v>5249</v>
      </c>
      <c r="N101" s="170">
        <v>2</v>
      </c>
      <c r="O101" s="17"/>
      <c r="P101" s="17"/>
      <c r="Q101" s="17"/>
      <c r="R101" s="17"/>
      <c r="S101" s="17"/>
      <c r="T101" s="17"/>
      <c r="U101" s="17"/>
      <c r="V101" s="129" t="str">
        <f t="shared" si="8"/>
        <v>23 years</v>
      </c>
      <c r="W101" s="17">
        <v>23</v>
      </c>
      <c r="X101" s="17" t="str">
        <f>IF(Language&lt;&gt;5,'Basic Values'!$B$9,IF(W101&lt;5,"lata","lat"))</f>
        <v>years</v>
      </c>
      <c r="Y101" s="17">
        <f t="shared" si="9"/>
        <v>0</v>
      </c>
      <c r="Z101" s="70">
        <f>IF(Y101&lt;&gt;0,(PerpetuityBaseValue*IF(PerpetuityGrowing=2,(1+Result!$G$28/100)^Specs!W101,1))/(1+DiscYear/100)^$W101,0)</f>
        <v>0</v>
      </c>
      <c r="AA101" s="17">
        <f t="shared" si="10"/>
        <v>0</v>
      </c>
      <c r="AB101" s="70">
        <f>IF(AA101&lt;&gt;0,(PerpetuityBaseValueEquity*IF(PerpetuityGrowing=2,1+Result!$G$108/100,1))/(1+DiscYearEquity/100)^$W101,0)</f>
        <v>0</v>
      </c>
      <c r="AC101" s="70">
        <f>IF(Y101&lt;&gt;0,(PerpetuityBaseValue*IF(PerpetuityGrowing=2,(1+Result!$G$28/100)^Specs!W101,1))/(1+Calculations!$D$1056)^$W101,0)</f>
        <v>0</v>
      </c>
      <c r="AD101" s="70">
        <f>IF(Y101&lt;&gt;0,(PerpetuityBaseValue*IF(PerpetuityGrowing=2,(1+Result!$G$28/100)^Specs!W101,1))/(1+Calculations!$D$1057)^$W101,0)</f>
        <v>0</v>
      </c>
      <c r="AE101" s="70">
        <f>IF(Y101&lt;&gt;0,(PerpetuityBaseValue*IF(PerpetuityGrowing=2,(1+Result!$G$28/100)^Specs!W101,1))/(1+Calculations!$D$1059)^$W101,0)</f>
        <v>0</v>
      </c>
      <c r="AF101" s="70">
        <f>IF(Y101&lt;&gt;0,(PerpetuityBaseValue*IF(PerpetuityGrowing=2,(1+Result!$G$28/100)^Specs!W101,1))/(1+Calculations!$D$1060)^$W101,0)</f>
        <v>0</v>
      </c>
    </row>
    <row r="102" spans="1:32" ht="12.75" customHeight="1" x14ac:dyDescent="0.35">
      <c r="A102" s="17"/>
      <c r="B102" s="17"/>
      <c r="C102" s="17"/>
      <c r="D102" s="17"/>
      <c r="E102" s="17"/>
      <c r="F102" s="36">
        <f t="shared" ca="1" si="11"/>
        <v>0.50339226561054384</v>
      </c>
      <c r="G102" s="93">
        <f t="shared" ca="1" si="12"/>
        <v>1</v>
      </c>
      <c r="H102" s="17"/>
      <c r="M102" s="171" t="s">
        <v>5250</v>
      </c>
      <c r="N102" s="170">
        <v>3</v>
      </c>
      <c r="O102" s="17"/>
      <c r="P102" s="17"/>
      <c r="Q102" s="17"/>
      <c r="R102" s="17"/>
      <c r="S102" s="17"/>
      <c r="T102" s="17"/>
      <c r="U102" s="17"/>
      <c r="V102" s="129" t="str">
        <f t="shared" si="8"/>
        <v>24 years</v>
      </c>
      <c r="W102" s="17">
        <v>24</v>
      </c>
      <c r="X102" s="17" t="str">
        <f>IF(Language&lt;&gt;5,'Basic Values'!$B$9,IF(W102&lt;5,"lata","lat"))</f>
        <v>years</v>
      </c>
      <c r="Y102" s="17">
        <f t="shared" si="9"/>
        <v>0</v>
      </c>
      <c r="Z102" s="70">
        <f>IF(Y102&lt;&gt;0,(PerpetuityBaseValue*IF(PerpetuityGrowing=2,(1+Result!$G$28/100)^Specs!W102,1))/(1+DiscYear/100)^$W102,0)</f>
        <v>0</v>
      </c>
      <c r="AA102" s="17">
        <f t="shared" si="10"/>
        <v>0</v>
      </c>
      <c r="AB102" s="70">
        <f>IF(AA102&lt;&gt;0,(PerpetuityBaseValueEquity*IF(PerpetuityGrowing=2,1+Result!$G$108/100,1))/(1+DiscYearEquity/100)^$W102,0)</f>
        <v>0</v>
      </c>
      <c r="AC102" s="70">
        <f>IF(Y102&lt;&gt;0,(PerpetuityBaseValue*IF(PerpetuityGrowing=2,(1+Result!$G$28/100)^Specs!W102,1))/(1+Calculations!$D$1056)^$W102,0)</f>
        <v>0</v>
      </c>
      <c r="AD102" s="70">
        <f>IF(Y102&lt;&gt;0,(PerpetuityBaseValue*IF(PerpetuityGrowing=2,(1+Result!$G$28/100)^Specs!W102,1))/(1+Calculations!$D$1057)^$W102,0)</f>
        <v>0</v>
      </c>
      <c r="AE102" s="70">
        <f>IF(Y102&lt;&gt;0,(PerpetuityBaseValue*IF(PerpetuityGrowing=2,(1+Result!$G$28/100)^Specs!W102,1))/(1+Calculations!$D$1059)^$W102,0)</f>
        <v>0</v>
      </c>
      <c r="AF102" s="70">
        <f>IF(Y102&lt;&gt;0,(PerpetuityBaseValue*IF(PerpetuityGrowing=2,(1+Result!$G$28/100)^Specs!W102,1))/(1+Calculations!$D$1060)^$W102,0)</f>
        <v>0</v>
      </c>
    </row>
    <row r="103" spans="1:32" ht="12.75" customHeight="1" x14ac:dyDescent="0.35">
      <c r="A103" s="17"/>
      <c r="B103" s="17"/>
      <c r="C103" s="17"/>
      <c r="D103" s="17"/>
      <c r="E103" s="17"/>
      <c r="F103" s="36">
        <f t="shared" ca="1" si="11"/>
        <v>0.50339226561055161</v>
      </c>
      <c r="G103" s="93">
        <f t="shared" ca="1" si="12"/>
        <v>1</v>
      </c>
      <c r="H103" s="17"/>
      <c r="I103" s="17"/>
      <c r="J103" s="17"/>
      <c r="K103" s="17"/>
      <c r="L103" s="17"/>
      <c r="M103" s="171" t="s">
        <v>5251</v>
      </c>
      <c r="N103" s="170">
        <v>4</v>
      </c>
      <c r="O103" s="17"/>
      <c r="P103" s="17"/>
      <c r="Q103" s="17"/>
      <c r="R103" s="17"/>
      <c r="S103" s="17"/>
      <c r="T103" s="17"/>
      <c r="U103" s="17"/>
      <c r="V103" s="129" t="str">
        <f t="shared" si="8"/>
        <v>25 years</v>
      </c>
      <c r="W103" s="17">
        <v>25</v>
      </c>
      <c r="X103" s="17" t="str">
        <f>IF(Language&lt;&gt;5,'Basic Values'!$B$9,IF(W103&lt;5,"lata","lat"))</f>
        <v>years</v>
      </c>
      <c r="Y103" s="17">
        <f t="shared" si="9"/>
        <v>0</v>
      </c>
      <c r="Z103" s="70">
        <f>IF(Y103&lt;&gt;0,(PerpetuityBaseValue*IF(PerpetuityGrowing=2,(1+Result!$G$28/100)^Specs!W103,1))/(1+DiscYear/100)^$W103,0)</f>
        <v>0</v>
      </c>
      <c r="AA103" s="17">
        <f t="shared" si="10"/>
        <v>0</v>
      </c>
      <c r="AB103" s="70">
        <f>IF(AA103&lt;&gt;0,(PerpetuityBaseValueEquity*IF(PerpetuityGrowing=2,1+Result!$G$108/100,1))/(1+DiscYearEquity/100)^$W103,0)</f>
        <v>0</v>
      </c>
      <c r="AC103" s="70">
        <f>IF(Y103&lt;&gt;0,(PerpetuityBaseValue*IF(PerpetuityGrowing=2,(1+Result!$G$28/100)^Specs!W103,1))/(1+Calculations!$D$1056)^$W103,0)</f>
        <v>0</v>
      </c>
      <c r="AD103" s="70">
        <f>IF(Y103&lt;&gt;0,(PerpetuityBaseValue*IF(PerpetuityGrowing=2,(1+Result!$G$28/100)^Specs!W103,1))/(1+Calculations!$D$1057)^$W103,0)</f>
        <v>0</v>
      </c>
      <c r="AE103" s="70">
        <f>IF(Y103&lt;&gt;0,(PerpetuityBaseValue*IF(PerpetuityGrowing=2,(1+Result!$G$28/100)^Specs!W103,1))/(1+Calculations!$D$1059)^$W103,0)</f>
        <v>0</v>
      </c>
      <c r="AF103" s="70">
        <f>IF(Y103&lt;&gt;0,(PerpetuityBaseValue*IF(PerpetuityGrowing=2,(1+Result!$G$28/100)^Specs!W103,1))/(1+Calculations!$D$1060)^$W103,0)</f>
        <v>0</v>
      </c>
    </row>
    <row r="104" spans="1:32" ht="12.75" customHeight="1" x14ac:dyDescent="0.35">
      <c r="A104" s="17"/>
      <c r="B104" s="17"/>
      <c r="C104" s="17"/>
      <c r="D104" s="17"/>
      <c r="E104" s="17"/>
      <c r="F104" s="36">
        <f t="shared" ca="1" si="11"/>
        <v>0.50339226561054384</v>
      </c>
      <c r="G104" s="93">
        <f t="shared" ca="1" si="12"/>
        <v>1</v>
      </c>
      <c r="H104" s="17"/>
      <c r="I104" s="17"/>
      <c r="J104" s="17"/>
      <c r="K104" s="17"/>
      <c r="L104" s="17"/>
      <c r="M104" s="171" t="s">
        <v>5252</v>
      </c>
      <c r="N104" s="170">
        <v>5</v>
      </c>
      <c r="O104" s="17"/>
      <c r="P104" s="17"/>
      <c r="Q104" s="17"/>
      <c r="R104" s="17"/>
      <c r="S104" s="17"/>
      <c r="T104" s="17"/>
      <c r="U104" s="17"/>
      <c r="V104" s="129" t="str">
        <f t="shared" si="8"/>
        <v>26 years</v>
      </c>
      <c r="W104" s="17">
        <v>26</v>
      </c>
      <c r="X104" s="17" t="str">
        <f>IF(Language&lt;&gt;5,'Basic Values'!$B$9,IF(W104&lt;5,"lata","lat"))</f>
        <v>years</v>
      </c>
      <c r="Y104" s="17">
        <f t="shared" si="9"/>
        <v>0</v>
      </c>
      <c r="Z104" s="70">
        <f>IF(Y104&lt;&gt;0,(PerpetuityBaseValue*IF(PerpetuityGrowing=2,(1+Result!$G$28/100)^Specs!W104,1))/(1+DiscYear/100)^$W104,0)</f>
        <v>0</v>
      </c>
      <c r="AA104" s="17">
        <f t="shared" si="10"/>
        <v>0</v>
      </c>
      <c r="AB104" s="70">
        <f>IF(AA104&lt;&gt;0,(PerpetuityBaseValueEquity*IF(PerpetuityGrowing=2,1+Result!$G$108/100,1))/(1+DiscYearEquity/100)^$W104,0)</f>
        <v>0</v>
      </c>
      <c r="AC104" s="70">
        <f>IF(Y104&lt;&gt;0,(PerpetuityBaseValue*IF(PerpetuityGrowing=2,(1+Result!$G$28/100)^Specs!W104,1))/(1+Calculations!$D$1056)^$W104,0)</f>
        <v>0</v>
      </c>
      <c r="AD104" s="70">
        <f>IF(Y104&lt;&gt;0,(PerpetuityBaseValue*IF(PerpetuityGrowing=2,(1+Result!$G$28/100)^Specs!W104,1))/(1+Calculations!$D$1057)^$W104,0)</f>
        <v>0</v>
      </c>
      <c r="AE104" s="70">
        <f>IF(Y104&lt;&gt;0,(PerpetuityBaseValue*IF(PerpetuityGrowing=2,(1+Result!$G$28/100)^Specs!W104,1))/(1+Calculations!$D$1059)^$W104,0)</f>
        <v>0</v>
      </c>
      <c r="AF104" s="70">
        <f>IF(Y104&lt;&gt;0,(PerpetuityBaseValue*IF(PerpetuityGrowing=2,(1+Result!$G$28/100)^Specs!W104,1))/(1+Calculations!$D$1060)^$W104,0)</f>
        <v>0</v>
      </c>
    </row>
    <row r="105" spans="1:32" ht="12.75" customHeight="1" x14ac:dyDescent="0.35">
      <c r="A105" s="17"/>
      <c r="B105" s="17"/>
      <c r="C105" s="17"/>
      <c r="D105" s="17"/>
      <c r="E105" s="17"/>
      <c r="F105" s="29">
        <f t="shared" ca="1" si="11"/>
        <v>0.50339226561054806</v>
      </c>
      <c r="G105" s="1249">
        <v>0</v>
      </c>
      <c r="H105" s="17"/>
      <c r="I105" s="17"/>
      <c r="J105" s="17"/>
      <c r="K105" s="17"/>
      <c r="L105" s="17"/>
      <c r="M105" s="172" t="s">
        <v>5253</v>
      </c>
      <c r="N105" s="170">
        <v>6</v>
      </c>
      <c r="O105" s="17"/>
      <c r="P105" s="17"/>
      <c r="Q105" s="17"/>
      <c r="R105" s="17"/>
      <c r="S105" s="17"/>
      <c r="T105" s="17"/>
      <c r="U105" s="17"/>
      <c r="V105" s="129" t="str">
        <f t="shared" si="8"/>
        <v>27 years</v>
      </c>
      <c r="W105" s="17">
        <v>27</v>
      </c>
      <c r="X105" s="17" t="str">
        <f>IF(Language&lt;&gt;5,'Basic Values'!$B$9,IF(W105&lt;5,"lata","lat"))</f>
        <v>years</v>
      </c>
      <c r="Y105" s="17">
        <f t="shared" si="9"/>
        <v>0</v>
      </c>
      <c r="Z105" s="70">
        <f>IF(Y105&lt;&gt;0,(PerpetuityBaseValue*IF(PerpetuityGrowing=2,(1+Result!$G$28/100)^Specs!W105,1))/(1+DiscYear/100)^$W105,0)</f>
        <v>0</v>
      </c>
      <c r="AA105" s="17">
        <f t="shared" si="10"/>
        <v>0</v>
      </c>
      <c r="AB105" s="70">
        <f>IF(AA105&lt;&gt;0,(PerpetuityBaseValueEquity*IF(PerpetuityGrowing=2,1+Result!$G$108/100,1))/(1+DiscYearEquity/100)^$W105,0)</f>
        <v>0</v>
      </c>
      <c r="AC105" s="70">
        <f>IF(Y105&lt;&gt;0,(PerpetuityBaseValue*IF(PerpetuityGrowing=2,(1+Result!$G$28/100)^Specs!W105,1))/(1+Calculations!$D$1056)^$W105,0)</f>
        <v>0</v>
      </c>
      <c r="AD105" s="70">
        <f>IF(Y105&lt;&gt;0,(PerpetuityBaseValue*IF(PerpetuityGrowing=2,(1+Result!$G$28/100)^Specs!W105,1))/(1+Calculations!$D$1057)^$W105,0)</f>
        <v>0</v>
      </c>
      <c r="AE105" s="70">
        <f>IF(Y105&lt;&gt;0,(PerpetuityBaseValue*IF(PerpetuityGrowing=2,(1+Result!$G$28/100)^Specs!W105,1))/(1+Calculations!$D$1059)^$W105,0)</f>
        <v>0</v>
      </c>
      <c r="AF105" s="70">
        <f>IF(Y105&lt;&gt;0,(PerpetuityBaseValue*IF(PerpetuityGrowing=2,(1+Result!$G$28/100)^Specs!W105,1))/(1+Calculations!$D$1060)^$W105,0)</f>
        <v>0</v>
      </c>
    </row>
    <row r="106" spans="1:32" ht="12.75" customHeight="1" x14ac:dyDescent="0.35">
      <c r="A106" s="17"/>
      <c r="B106" s="17"/>
      <c r="C106" s="17"/>
      <c r="D106" s="17"/>
      <c r="E106" s="17"/>
      <c r="F106" s="36">
        <f t="shared" ca="1" si="11"/>
        <v>0.50339226561054806</v>
      </c>
      <c r="G106" s="93">
        <f t="shared" ca="1" si="12"/>
        <v>1</v>
      </c>
      <c r="H106" s="17"/>
      <c r="I106" s="17"/>
      <c r="J106" s="17"/>
      <c r="K106" s="17"/>
      <c r="L106" s="17"/>
      <c r="M106" s="169" t="s">
        <v>5254</v>
      </c>
      <c r="N106" s="170">
        <v>1</v>
      </c>
      <c r="O106" s="17"/>
      <c r="P106" s="17"/>
      <c r="Q106" s="17"/>
      <c r="R106" s="17"/>
      <c r="S106" s="17"/>
      <c r="T106" s="17"/>
      <c r="U106" s="17"/>
      <c r="V106" s="129" t="str">
        <f t="shared" si="8"/>
        <v>28 years</v>
      </c>
      <c r="W106" s="17">
        <v>28</v>
      </c>
      <c r="X106" s="17" t="str">
        <f>IF(Language&lt;&gt;5,'Basic Values'!$B$9,IF(W106&lt;5,"lata","lat"))</f>
        <v>years</v>
      </c>
      <c r="Y106" s="17">
        <f t="shared" si="9"/>
        <v>0</v>
      </c>
      <c r="Z106" s="70">
        <f>IF(Y106&lt;&gt;0,(PerpetuityBaseValue*IF(PerpetuityGrowing=2,(1+Result!$G$28/100)^Specs!W106,1))/(1+DiscYear/100)^$W106,0)</f>
        <v>0</v>
      </c>
      <c r="AA106" s="17">
        <f t="shared" si="10"/>
        <v>0</v>
      </c>
      <c r="AB106" s="70">
        <f>IF(AA106&lt;&gt;0,(PerpetuityBaseValueEquity*IF(PerpetuityGrowing=2,1+Result!$G$108/100,1))/(1+DiscYearEquity/100)^$W106,0)</f>
        <v>0</v>
      </c>
      <c r="AC106" s="70">
        <f>IF(Y106&lt;&gt;0,(PerpetuityBaseValue*IF(PerpetuityGrowing=2,(1+Result!$G$28/100)^Specs!W106,1))/(1+Calculations!$D$1056)^$W106,0)</f>
        <v>0</v>
      </c>
      <c r="AD106" s="70">
        <f>IF(Y106&lt;&gt;0,(PerpetuityBaseValue*IF(PerpetuityGrowing=2,(1+Result!$G$28/100)^Specs!W106,1))/(1+Calculations!$D$1057)^$W106,0)</f>
        <v>0</v>
      </c>
      <c r="AE106" s="70">
        <f>IF(Y106&lt;&gt;0,(PerpetuityBaseValue*IF(PerpetuityGrowing=2,(1+Result!$G$28/100)^Specs!W106,1))/(1+Calculations!$D$1059)^$W106,0)</f>
        <v>0</v>
      </c>
      <c r="AF106" s="70">
        <f>IF(Y106&lt;&gt;0,(PerpetuityBaseValue*IF(PerpetuityGrowing=2,(1+Result!$G$28/100)^Specs!W106,1))/(1+Calculations!$D$1060)^$W106,0)</f>
        <v>0</v>
      </c>
    </row>
    <row r="107" spans="1:32" ht="12.75" customHeight="1" x14ac:dyDescent="0.35">
      <c r="A107" s="17"/>
      <c r="B107" s="17"/>
      <c r="C107" s="17"/>
      <c r="D107" s="17"/>
      <c r="E107" s="17"/>
      <c r="F107" s="36">
        <f t="shared" ca="1" si="11"/>
        <v>0.50339226561054806</v>
      </c>
      <c r="G107" s="1248">
        <v>0</v>
      </c>
      <c r="H107" s="17"/>
      <c r="I107" s="17"/>
      <c r="J107" s="17"/>
      <c r="K107" s="17"/>
      <c r="L107" s="17"/>
      <c r="M107" s="171" t="s">
        <v>5255</v>
      </c>
      <c r="N107" s="170">
        <v>2</v>
      </c>
      <c r="O107" s="17"/>
      <c r="P107" s="17"/>
      <c r="Q107" s="17"/>
      <c r="R107" s="17"/>
      <c r="S107" s="17"/>
      <c r="T107" s="17"/>
      <c r="U107" s="17"/>
      <c r="V107" s="129" t="str">
        <f t="shared" si="8"/>
        <v>29 years</v>
      </c>
      <c r="W107" s="17">
        <v>29</v>
      </c>
      <c r="X107" s="17" t="str">
        <f>IF(Language&lt;&gt;5,'Basic Values'!$B$9,IF(W107&lt;5,"lata","lat"))</f>
        <v>years</v>
      </c>
      <c r="Y107" s="17">
        <f t="shared" si="9"/>
        <v>0</v>
      </c>
      <c r="Z107" s="70">
        <f>IF(Y107&lt;&gt;0,(PerpetuityBaseValue*IF(PerpetuityGrowing=2,(1+Result!$G$28/100)^Specs!W107,1))/(1+DiscYear/100)^$W107,0)</f>
        <v>0</v>
      </c>
      <c r="AA107" s="17">
        <f t="shared" si="10"/>
        <v>0</v>
      </c>
      <c r="AB107" s="70">
        <f>IF(AA107&lt;&gt;0,(PerpetuityBaseValueEquity*IF(PerpetuityGrowing=2,1+Result!$G$108/100,1))/(1+DiscYearEquity/100)^$W107,0)</f>
        <v>0</v>
      </c>
      <c r="AC107" s="70">
        <f>IF(Y107&lt;&gt;0,(PerpetuityBaseValue*IF(PerpetuityGrowing=2,(1+Result!$G$28/100)^Specs!W107,1))/(1+Calculations!$D$1056)^$W107,0)</f>
        <v>0</v>
      </c>
      <c r="AD107" s="70">
        <f>IF(Y107&lt;&gt;0,(PerpetuityBaseValue*IF(PerpetuityGrowing=2,(1+Result!$G$28/100)^Specs!W107,1))/(1+Calculations!$D$1057)^$W107,0)</f>
        <v>0</v>
      </c>
      <c r="AE107" s="70">
        <f>IF(Y107&lt;&gt;0,(PerpetuityBaseValue*IF(PerpetuityGrowing=2,(1+Result!$G$28/100)^Specs!W107,1))/(1+Calculations!$D$1059)^$W107,0)</f>
        <v>0</v>
      </c>
      <c r="AF107" s="70">
        <f>IF(Y107&lt;&gt;0,(PerpetuityBaseValue*IF(PerpetuityGrowing=2,(1+Result!$G$28/100)^Specs!W107,1))/(1+Calculations!$D$1060)^$W107,0)</f>
        <v>0</v>
      </c>
    </row>
    <row r="108" spans="1:32" ht="12.75" customHeight="1" x14ac:dyDescent="0.35">
      <c r="A108" s="17"/>
      <c r="B108" s="17"/>
      <c r="C108" s="17"/>
      <c r="D108" s="17"/>
      <c r="E108" s="17"/>
      <c r="F108" s="36">
        <f t="shared" ca="1" si="11"/>
        <v>0.50339226561054007</v>
      </c>
      <c r="G108" s="93">
        <f t="shared" ca="1" si="12"/>
        <v>1</v>
      </c>
      <c r="H108" s="17"/>
      <c r="I108" s="17"/>
      <c r="J108" s="17"/>
      <c r="K108" s="17"/>
      <c r="L108" s="17"/>
      <c r="M108" s="171" t="s">
        <v>5256</v>
      </c>
      <c r="N108" s="170">
        <v>3</v>
      </c>
      <c r="O108" s="17"/>
      <c r="P108" s="17"/>
      <c r="Q108" s="17"/>
      <c r="R108" s="17"/>
      <c r="S108" s="17"/>
      <c r="T108" s="17"/>
      <c r="U108" s="17"/>
      <c r="V108" s="129" t="str">
        <f t="shared" si="8"/>
        <v>30 years</v>
      </c>
      <c r="W108" s="17">
        <v>30</v>
      </c>
      <c r="X108" s="17" t="str">
        <f>IF(Language&lt;&gt;5,'Basic Values'!$B$9,IF(W108&lt;5,"lata","lat"))</f>
        <v>years</v>
      </c>
      <c r="Y108" s="17">
        <f t="shared" si="9"/>
        <v>0</v>
      </c>
      <c r="Z108" s="70">
        <f>IF(Y108&lt;&gt;0,(PerpetuityBaseValue*IF(PerpetuityGrowing=2,(1+Result!$G$28/100)^Specs!W108,1))/(1+DiscYear/100)^$W108,0)</f>
        <v>0</v>
      </c>
      <c r="AA108" s="17">
        <f t="shared" si="10"/>
        <v>0</v>
      </c>
      <c r="AB108" s="70">
        <f>IF(AA108&lt;&gt;0,(PerpetuityBaseValueEquity*IF(PerpetuityGrowing=2,1+Result!$G$108/100,1))/(1+DiscYearEquity/100)^$W108,0)</f>
        <v>0</v>
      </c>
      <c r="AC108" s="70">
        <f>IF(Y108&lt;&gt;0,(PerpetuityBaseValue*IF(PerpetuityGrowing=2,(1+Result!$G$28/100)^Specs!W108,1))/(1+Calculations!$D$1056)^$W108,0)</f>
        <v>0</v>
      </c>
      <c r="AD108" s="70">
        <f>IF(Y108&lt;&gt;0,(PerpetuityBaseValue*IF(PerpetuityGrowing=2,(1+Result!$G$28/100)^Specs!W108,1))/(1+Calculations!$D$1057)^$W108,0)</f>
        <v>0</v>
      </c>
      <c r="AE108" s="70">
        <f>IF(Y108&lt;&gt;0,(PerpetuityBaseValue*IF(PerpetuityGrowing=2,(1+Result!$G$28/100)^Specs!W108,1))/(1+Calculations!$D$1059)^$W108,0)</f>
        <v>0</v>
      </c>
      <c r="AF108" s="70">
        <f>IF(Y108&lt;&gt;0,(PerpetuityBaseValue*IF(PerpetuityGrowing=2,(1+Result!$G$28/100)^Specs!W108,1))/(1+Calculations!$D$1060)^$W108,0)</f>
        <v>0</v>
      </c>
    </row>
    <row r="109" spans="1:32" ht="12.75" customHeight="1" x14ac:dyDescent="0.35">
      <c r="A109" s="17"/>
      <c r="B109" s="17"/>
      <c r="C109" s="17"/>
      <c r="D109" s="17"/>
      <c r="E109" s="17"/>
      <c r="F109" s="36">
        <f t="shared" ca="1" si="11"/>
        <v>0.50339226561054806</v>
      </c>
      <c r="G109" s="1248">
        <v>0</v>
      </c>
      <c r="H109" s="17"/>
      <c r="I109" s="17"/>
      <c r="J109" s="17"/>
      <c r="K109" s="17"/>
      <c r="L109" s="17"/>
      <c r="M109" s="171" t="s">
        <v>5257</v>
      </c>
      <c r="N109" s="170">
        <v>4</v>
      </c>
      <c r="O109" s="17"/>
      <c r="P109" s="17"/>
      <c r="Q109" s="17"/>
      <c r="R109" s="17"/>
      <c r="S109" s="17"/>
      <c r="T109" s="17"/>
      <c r="U109" s="17"/>
      <c r="V109" s="129" t="str">
        <f t="shared" si="8"/>
        <v>31 years</v>
      </c>
      <c r="W109" s="17">
        <v>31</v>
      </c>
      <c r="X109" s="17" t="str">
        <f>IF(Language&lt;&gt;5,'Basic Values'!$B$9,IF(W109&lt;5,"lata","lat"))</f>
        <v>years</v>
      </c>
      <c r="Y109" s="17">
        <f t="shared" si="9"/>
        <v>0</v>
      </c>
      <c r="Z109" s="70">
        <f>IF(Y109&lt;&gt;0,(PerpetuityBaseValue*IF(PerpetuityGrowing=2,(1+Result!$G$28/100)^Specs!W109,1))/(1+DiscYear/100)^$W109,0)</f>
        <v>0</v>
      </c>
      <c r="AA109" s="17">
        <f t="shared" si="10"/>
        <v>0</v>
      </c>
      <c r="AB109" s="70">
        <f>IF(AA109&lt;&gt;0,(PerpetuityBaseValueEquity*IF(PerpetuityGrowing=2,1+Result!$G$108/100,1))/(1+DiscYearEquity/100)^$W109,0)</f>
        <v>0</v>
      </c>
      <c r="AC109" s="70">
        <f>IF(Y109&lt;&gt;0,(PerpetuityBaseValue*IF(PerpetuityGrowing=2,(1+Result!$G$28/100)^Specs!W109,1))/(1+Calculations!$D$1056)^$W109,0)</f>
        <v>0</v>
      </c>
      <c r="AD109" s="70">
        <f>IF(Y109&lt;&gt;0,(PerpetuityBaseValue*IF(PerpetuityGrowing=2,(1+Result!$G$28/100)^Specs!W109,1))/(1+Calculations!$D$1057)^$W109,0)</f>
        <v>0</v>
      </c>
      <c r="AE109" s="70">
        <f>IF(Y109&lt;&gt;0,(PerpetuityBaseValue*IF(PerpetuityGrowing=2,(1+Result!$G$28/100)^Specs!W109,1))/(1+Calculations!$D$1059)^$W109,0)</f>
        <v>0</v>
      </c>
      <c r="AF109" s="70">
        <f>IF(Y109&lt;&gt;0,(PerpetuityBaseValue*IF(PerpetuityGrowing=2,(1+Result!$G$28/100)^Specs!W109,1))/(1+Calculations!$D$1060)^$W109,0)</f>
        <v>0</v>
      </c>
    </row>
    <row r="110" spans="1:32" ht="12.75" customHeight="1" x14ac:dyDescent="0.35">
      <c r="A110" s="17"/>
      <c r="B110" s="17"/>
      <c r="C110" s="17"/>
      <c r="D110" s="17"/>
      <c r="E110" s="17"/>
      <c r="F110" s="36">
        <f t="shared" ca="1" si="11"/>
        <v>0.50339226561054806</v>
      </c>
      <c r="G110" s="93">
        <f t="shared" ca="1" si="12"/>
        <v>1</v>
      </c>
      <c r="H110" s="17"/>
      <c r="I110" s="17"/>
      <c r="J110" s="17"/>
      <c r="K110" s="17"/>
      <c r="L110" s="17"/>
      <c r="M110" s="171" t="s">
        <v>5258</v>
      </c>
      <c r="N110" s="170">
        <v>5</v>
      </c>
      <c r="O110" s="17"/>
      <c r="P110" s="17"/>
      <c r="Q110" s="17"/>
      <c r="R110" s="17"/>
      <c r="S110" s="17"/>
      <c r="T110" s="17"/>
      <c r="U110" s="17"/>
      <c r="V110" s="129" t="str">
        <f t="shared" si="8"/>
        <v>32 years</v>
      </c>
      <c r="W110" s="17">
        <v>32</v>
      </c>
      <c r="X110" s="17" t="str">
        <f>IF(Language&lt;&gt;5,'Basic Values'!$B$9,IF(W110&lt;5,"lata","lat"))</f>
        <v>years</v>
      </c>
      <c r="Y110" s="17">
        <f t="shared" si="9"/>
        <v>0</v>
      </c>
      <c r="Z110" s="70">
        <f>IF(Y110&lt;&gt;0,(PerpetuityBaseValue*IF(PerpetuityGrowing=2,(1+Result!$G$28/100)^Specs!W110,1))/(1+DiscYear/100)^$W110,0)</f>
        <v>0</v>
      </c>
      <c r="AA110" s="17">
        <f t="shared" si="10"/>
        <v>0</v>
      </c>
      <c r="AB110" s="70">
        <f>IF(AA110&lt;&gt;0,(PerpetuityBaseValueEquity*IF(PerpetuityGrowing=2,1+Result!$G$108/100,1))/(1+DiscYearEquity/100)^$W110,0)</f>
        <v>0</v>
      </c>
      <c r="AC110" s="70">
        <f>IF(Y110&lt;&gt;0,(PerpetuityBaseValue*IF(PerpetuityGrowing=2,(1+Result!$G$28/100)^Specs!W110,1))/(1+Calculations!$D$1056)^$W110,0)</f>
        <v>0</v>
      </c>
      <c r="AD110" s="70">
        <f>IF(Y110&lt;&gt;0,(PerpetuityBaseValue*IF(PerpetuityGrowing=2,(1+Result!$G$28/100)^Specs!W110,1))/(1+Calculations!$D$1057)^$W110,0)</f>
        <v>0</v>
      </c>
      <c r="AE110" s="70">
        <f>IF(Y110&lt;&gt;0,(PerpetuityBaseValue*IF(PerpetuityGrowing=2,(1+Result!$G$28/100)^Specs!W110,1))/(1+Calculations!$D$1059)^$W110,0)</f>
        <v>0</v>
      </c>
      <c r="AF110" s="70">
        <f>IF(Y110&lt;&gt;0,(PerpetuityBaseValue*IF(PerpetuityGrowing=2,(1+Result!$G$28/100)^Specs!W110,1))/(1+Calculations!$D$1060)^$W110,0)</f>
        <v>0</v>
      </c>
    </row>
    <row r="111" spans="1:32" ht="12.75" customHeight="1" x14ac:dyDescent="0.35">
      <c r="A111" s="17"/>
      <c r="B111" s="17"/>
      <c r="C111" s="17"/>
      <c r="D111" s="17"/>
      <c r="E111" s="17"/>
      <c r="F111" s="36">
        <f t="shared" ca="1" si="11"/>
        <v>0.50339226561054806</v>
      </c>
      <c r="G111" s="93">
        <f t="shared" ca="1" si="12"/>
        <v>1</v>
      </c>
      <c r="H111" s="17"/>
      <c r="I111" s="17"/>
      <c r="J111" s="17"/>
      <c r="K111" s="17"/>
      <c r="L111" s="17"/>
      <c r="M111" s="172" t="s">
        <v>5259</v>
      </c>
      <c r="N111" s="170">
        <v>6</v>
      </c>
      <c r="O111" s="17"/>
      <c r="P111" s="17"/>
      <c r="Q111" s="17"/>
      <c r="R111" s="17"/>
      <c r="S111" s="17"/>
      <c r="T111" s="17"/>
      <c r="U111" s="17"/>
      <c r="V111" s="129" t="str">
        <f t="shared" ref="V111:V142" si="13">W111&amp;" "&amp;X111</f>
        <v>33 years</v>
      </c>
      <c r="W111" s="17">
        <v>33</v>
      </c>
      <c r="X111" s="17" t="str">
        <f>IF(Language&lt;&gt;5,'Basic Values'!$B$9,IF(W111&lt;5,"lata","lat"))</f>
        <v>years</v>
      </c>
      <c r="Y111" s="17">
        <f t="shared" ref="Y111:Y142" si="14">IF($W111&lt;=PerpetuityLimitation-1,$W111,0)</f>
        <v>0</v>
      </c>
      <c r="Z111" s="70">
        <f>IF(Y111&lt;&gt;0,(PerpetuityBaseValue*IF(PerpetuityGrowing=2,(1+Result!$G$28/100)^Specs!W111,1))/(1+DiscYear/100)^$W111,0)</f>
        <v>0</v>
      </c>
      <c r="AA111" s="17">
        <f t="shared" ref="AA111:AA142" si="15">IF($W111&lt;=PerpetuityLimitationEquity-1,$W111,0)</f>
        <v>0</v>
      </c>
      <c r="AB111" s="70">
        <f>IF(AA111&lt;&gt;0,(PerpetuityBaseValueEquity*IF(PerpetuityGrowing=2,1+Result!$G$108/100,1))/(1+DiscYearEquity/100)^$W111,0)</f>
        <v>0</v>
      </c>
      <c r="AC111" s="70">
        <f>IF(Y111&lt;&gt;0,(PerpetuityBaseValue*IF(PerpetuityGrowing=2,(1+Result!$G$28/100)^Specs!W111,1))/(1+Calculations!$D$1056)^$W111,0)</f>
        <v>0</v>
      </c>
      <c r="AD111" s="70">
        <f>IF(Y111&lt;&gt;0,(PerpetuityBaseValue*IF(PerpetuityGrowing=2,(1+Result!$G$28/100)^Specs!W111,1))/(1+Calculations!$D$1057)^$W111,0)</f>
        <v>0</v>
      </c>
      <c r="AE111" s="70">
        <f>IF(Y111&lt;&gt;0,(PerpetuityBaseValue*IF(PerpetuityGrowing=2,(1+Result!$G$28/100)^Specs!W111,1))/(1+Calculations!$D$1059)^$W111,0)</f>
        <v>0</v>
      </c>
      <c r="AF111" s="70">
        <f>IF(Y111&lt;&gt;0,(PerpetuityBaseValue*IF(PerpetuityGrowing=2,(1+Result!$G$28/100)^Specs!W111,1))/(1+Calculations!$D$1060)^$W111,0)</f>
        <v>0</v>
      </c>
    </row>
    <row r="112" spans="1:32" ht="12.75" customHeight="1" x14ac:dyDescent="0.35">
      <c r="A112" s="17"/>
      <c r="B112" s="17"/>
      <c r="C112" s="17"/>
      <c r="D112" s="17"/>
      <c r="E112" s="17"/>
      <c r="F112" s="36">
        <f t="shared" ca="1" si="11"/>
        <v>0.50339226561054806</v>
      </c>
      <c r="G112" s="93">
        <f t="shared" ca="1" si="12"/>
        <v>1</v>
      </c>
      <c r="H112" s="17"/>
      <c r="I112" s="17"/>
      <c r="J112" s="17"/>
      <c r="K112" s="17"/>
      <c r="L112" s="17"/>
      <c r="M112" s="17"/>
      <c r="N112" s="17"/>
      <c r="O112" s="17"/>
      <c r="P112" s="17"/>
      <c r="Q112" s="17"/>
      <c r="R112" s="17"/>
      <c r="S112" s="17"/>
      <c r="T112" s="17"/>
      <c r="U112" s="17"/>
      <c r="V112" s="129" t="str">
        <f t="shared" si="13"/>
        <v>34 years</v>
      </c>
      <c r="W112" s="17">
        <v>34</v>
      </c>
      <c r="X112" s="17" t="str">
        <f>IF(Language&lt;&gt;5,'Basic Values'!$B$9,IF(W112&lt;5,"lata","lat"))</f>
        <v>years</v>
      </c>
      <c r="Y112" s="17">
        <f t="shared" si="14"/>
        <v>0</v>
      </c>
      <c r="Z112" s="70">
        <f>IF(Y112&lt;&gt;0,(PerpetuityBaseValue*IF(PerpetuityGrowing=2,(1+Result!$G$28/100)^Specs!W112,1))/(1+DiscYear/100)^$W112,0)</f>
        <v>0</v>
      </c>
      <c r="AA112" s="17">
        <f t="shared" si="15"/>
        <v>0</v>
      </c>
      <c r="AB112" s="70">
        <f>IF(AA112&lt;&gt;0,(PerpetuityBaseValueEquity*IF(PerpetuityGrowing=2,1+Result!$G$108/100,1))/(1+DiscYearEquity/100)^$W112,0)</f>
        <v>0</v>
      </c>
      <c r="AC112" s="70">
        <f>IF(Y112&lt;&gt;0,(PerpetuityBaseValue*IF(PerpetuityGrowing=2,(1+Result!$G$28/100)^Specs!W112,1))/(1+Calculations!$D$1056)^$W112,0)</f>
        <v>0</v>
      </c>
      <c r="AD112" s="70">
        <f>IF(Y112&lt;&gt;0,(PerpetuityBaseValue*IF(PerpetuityGrowing=2,(1+Result!$G$28/100)^Specs!W112,1))/(1+Calculations!$D$1057)^$W112,0)</f>
        <v>0</v>
      </c>
      <c r="AE112" s="70">
        <f>IF(Y112&lt;&gt;0,(PerpetuityBaseValue*IF(PerpetuityGrowing=2,(1+Result!$G$28/100)^Specs!W112,1))/(1+Calculations!$D$1059)^$W112,0)</f>
        <v>0</v>
      </c>
      <c r="AF112" s="70">
        <f>IF(Y112&lt;&gt;0,(PerpetuityBaseValue*IF(PerpetuityGrowing=2,(1+Result!$G$28/100)^Specs!W112,1))/(1+Calculations!$D$1060)^$W112,0)</f>
        <v>0</v>
      </c>
    </row>
    <row r="113" spans="1:32" ht="12.75" customHeight="1" x14ac:dyDescent="0.35">
      <c r="A113" s="17"/>
      <c r="B113" s="17"/>
      <c r="C113" s="17"/>
      <c r="D113" s="17"/>
      <c r="E113" s="17"/>
      <c r="F113" s="36">
        <f t="shared" ca="1" si="11"/>
        <v>0.50339226561054806</v>
      </c>
      <c r="G113" s="93">
        <f t="shared" ca="1" si="12"/>
        <v>1</v>
      </c>
      <c r="H113" s="17"/>
      <c r="I113" s="17"/>
      <c r="J113" s="50" t="s">
        <v>2415</v>
      </c>
      <c r="K113" s="50"/>
      <c r="L113" s="17"/>
      <c r="M113" s="17"/>
      <c r="N113" s="17"/>
      <c r="O113" s="17"/>
      <c r="P113" s="17"/>
      <c r="Q113" s="17"/>
      <c r="R113" s="17"/>
      <c r="S113" s="17"/>
      <c r="T113" s="17"/>
      <c r="U113" s="17"/>
      <c r="V113" s="129" t="str">
        <f t="shared" si="13"/>
        <v>35 years</v>
      </c>
      <c r="W113" s="17">
        <v>35</v>
      </c>
      <c r="X113" s="17" t="str">
        <f>IF(Language&lt;&gt;5,'Basic Values'!$B$9,IF(W113&lt;5,"lata","lat"))</f>
        <v>years</v>
      </c>
      <c r="Y113" s="17">
        <f t="shared" si="14"/>
        <v>0</v>
      </c>
      <c r="Z113" s="70">
        <f>IF(Y113&lt;&gt;0,(PerpetuityBaseValue*IF(PerpetuityGrowing=2,(1+Result!$G$28/100)^Specs!W113,1))/(1+DiscYear/100)^$W113,0)</f>
        <v>0</v>
      </c>
      <c r="AA113" s="17">
        <f t="shared" si="15"/>
        <v>0</v>
      </c>
      <c r="AB113" s="70">
        <f>IF(AA113&lt;&gt;0,(PerpetuityBaseValueEquity*IF(PerpetuityGrowing=2,1+Result!$G$108/100,1))/(1+DiscYearEquity/100)^$W113,0)</f>
        <v>0</v>
      </c>
      <c r="AC113" s="70">
        <f>IF(Y113&lt;&gt;0,(PerpetuityBaseValue*IF(PerpetuityGrowing=2,(1+Result!$G$28/100)^Specs!W113,1))/(1+Calculations!$D$1056)^$W113,0)</f>
        <v>0</v>
      </c>
      <c r="AD113" s="70">
        <f>IF(Y113&lt;&gt;0,(PerpetuityBaseValue*IF(PerpetuityGrowing=2,(1+Result!$G$28/100)^Specs!W113,1))/(1+Calculations!$D$1057)^$W113,0)</f>
        <v>0</v>
      </c>
      <c r="AE113" s="70">
        <f>IF(Y113&lt;&gt;0,(PerpetuityBaseValue*IF(PerpetuityGrowing=2,(1+Result!$G$28/100)^Specs!W113,1))/(1+Calculations!$D$1059)^$W113,0)</f>
        <v>0</v>
      </c>
      <c r="AF113" s="70">
        <f>IF(Y113&lt;&gt;0,(PerpetuityBaseValue*IF(PerpetuityGrowing=2,(1+Result!$G$28/100)^Specs!W113,1))/(1+Calculations!$D$1060)^$W113,0)</f>
        <v>0</v>
      </c>
    </row>
    <row r="114" spans="1:32" ht="12.75" customHeight="1" x14ac:dyDescent="0.35">
      <c r="A114" s="17"/>
      <c r="B114" s="17"/>
      <c r="C114" s="17"/>
      <c r="D114" s="17"/>
      <c r="E114" s="17"/>
      <c r="F114" s="36">
        <f t="shared" ca="1" si="11"/>
        <v>0.50339226561054806</v>
      </c>
      <c r="G114" s="1248">
        <v>0</v>
      </c>
      <c r="H114" s="17"/>
      <c r="I114" s="17"/>
      <c r="J114" s="21" t="s">
        <v>2416</v>
      </c>
      <c r="K114" s="21" t="s">
        <v>2207</v>
      </c>
      <c r="L114" s="21" t="s">
        <v>2417</v>
      </c>
      <c r="M114" s="21" t="s">
        <v>2418</v>
      </c>
      <c r="N114" s="21" t="s">
        <v>2419</v>
      </c>
      <c r="O114" s="167" t="s">
        <v>5535</v>
      </c>
      <c r="P114" s="17"/>
      <c r="Q114" s="17"/>
      <c r="R114" s="17"/>
      <c r="S114" s="17"/>
      <c r="T114" s="17"/>
      <c r="U114" s="17"/>
      <c r="V114" s="129" t="str">
        <f t="shared" si="13"/>
        <v>36 years</v>
      </c>
      <c r="W114" s="17">
        <v>36</v>
      </c>
      <c r="X114" s="17" t="str">
        <f>IF(Language&lt;&gt;5,'Basic Values'!$B$9,IF(W114&lt;5,"lata","lat"))</f>
        <v>years</v>
      </c>
      <c r="Y114" s="17">
        <f t="shared" si="14"/>
        <v>0</v>
      </c>
      <c r="Z114" s="70">
        <f>IF(Y114&lt;&gt;0,(PerpetuityBaseValue*IF(PerpetuityGrowing=2,(1+Result!$G$28/100)^Specs!W114,1))/(1+DiscYear/100)^$W114,0)</f>
        <v>0</v>
      </c>
      <c r="AA114" s="17">
        <f t="shared" si="15"/>
        <v>0</v>
      </c>
      <c r="AB114" s="70">
        <f>IF(AA114&lt;&gt;0,(PerpetuityBaseValueEquity*IF(PerpetuityGrowing=2,1+Result!$G$108/100,1))/(1+DiscYearEquity/100)^$W114,0)</f>
        <v>0</v>
      </c>
      <c r="AC114" s="70">
        <f>IF(Y114&lt;&gt;0,(PerpetuityBaseValue*IF(PerpetuityGrowing=2,(1+Result!$G$28/100)^Specs!W114,1))/(1+Calculations!$D$1056)^$W114,0)</f>
        <v>0</v>
      </c>
      <c r="AD114" s="70">
        <f>IF(Y114&lt;&gt;0,(PerpetuityBaseValue*IF(PerpetuityGrowing=2,(1+Result!$G$28/100)^Specs!W114,1))/(1+Calculations!$D$1057)^$W114,0)</f>
        <v>0</v>
      </c>
      <c r="AE114" s="70">
        <f>IF(Y114&lt;&gt;0,(PerpetuityBaseValue*IF(PerpetuityGrowing=2,(1+Result!$G$28/100)^Specs!W114,1))/(1+Calculations!$D$1059)^$W114,0)</f>
        <v>0</v>
      </c>
      <c r="AF114" s="70">
        <f>IF(Y114&lt;&gt;0,(PerpetuityBaseValue*IF(PerpetuityGrowing=2,(1+Result!$G$28/100)^Specs!W114,1))/(1+Calculations!$D$1060)^$W114,0)</f>
        <v>0</v>
      </c>
    </row>
    <row r="115" spans="1:32" ht="12.75" customHeight="1" x14ac:dyDescent="0.35">
      <c r="A115" s="17"/>
      <c r="B115" s="17"/>
      <c r="C115" s="17"/>
      <c r="D115" s="17"/>
      <c r="E115" s="17"/>
      <c r="F115" s="36">
        <f t="shared" ca="1" si="11"/>
        <v>0.50339226561055161</v>
      </c>
      <c r="G115" s="93">
        <f t="shared" ca="1" si="12"/>
        <v>1</v>
      </c>
      <c r="H115" s="17"/>
      <c r="I115" s="17">
        <v>2017</v>
      </c>
      <c r="J115" s="17" t="s">
        <v>6235</v>
      </c>
      <c r="K115" s="17">
        <v>-2</v>
      </c>
      <c r="L115" s="17">
        <v>0</v>
      </c>
      <c r="M115" s="17">
        <v>2</v>
      </c>
      <c r="N115" s="17">
        <v>2</v>
      </c>
      <c r="O115" s="17">
        <v>1</v>
      </c>
      <c r="P115" s="17"/>
      <c r="Q115" s="17"/>
      <c r="R115" s="17"/>
      <c r="S115" s="17"/>
      <c r="T115" s="17"/>
      <c r="U115" s="17"/>
      <c r="V115" s="129" t="str">
        <f t="shared" si="13"/>
        <v>37 years</v>
      </c>
      <c r="W115" s="17">
        <v>37</v>
      </c>
      <c r="X115" s="17" t="str">
        <f>IF(Language&lt;&gt;5,'Basic Values'!$B$9,IF(W115&lt;5,"lata","lat"))</f>
        <v>years</v>
      </c>
      <c r="Y115" s="17">
        <f t="shared" si="14"/>
        <v>0</v>
      </c>
      <c r="Z115" s="70">
        <f>IF(Y115&lt;&gt;0,(PerpetuityBaseValue*IF(PerpetuityGrowing=2,(1+Result!$G$28/100)^Specs!W115,1))/(1+DiscYear/100)^$W115,0)</f>
        <v>0</v>
      </c>
      <c r="AA115" s="17">
        <f t="shared" si="15"/>
        <v>0</v>
      </c>
      <c r="AB115" s="70">
        <f>IF(AA115&lt;&gt;0,(PerpetuityBaseValueEquity*IF(PerpetuityGrowing=2,1+Result!$G$108/100,1))/(1+DiscYearEquity/100)^$W115,0)</f>
        <v>0</v>
      </c>
      <c r="AC115" s="70">
        <f>IF(Y115&lt;&gt;0,(PerpetuityBaseValue*IF(PerpetuityGrowing=2,(1+Result!$G$28/100)^Specs!W115,1))/(1+Calculations!$D$1056)^$W115,0)</f>
        <v>0</v>
      </c>
      <c r="AD115" s="70">
        <f>IF(Y115&lt;&gt;0,(PerpetuityBaseValue*IF(PerpetuityGrowing=2,(1+Result!$G$28/100)^Specs!W115,1))/(1+Calculations!$D$1057)^$W115,0)</f>
        <v>0</v>
      </c>
      <c r="AE115" s="70">
        <f>IF(Y115&lt;&gt;0,(PerpetuityBaseValue*IF(PerpetuityGrowing=2,(1+Result!$G$28/100)^Specs!W115,1))/(1+Calculations!$D$1059)^$W115,0)</f>
        <v>0</v>
      </c>
      <c r="AF115" s="70">
        <f>IF(Y115&lt;&gt;0,(PerpetuityBaseValue*IF(PerpetuityGrowing=2,(1+Result!$G$28/100)^Specs!W115,1))/(1+Calculations!$D$1060)^$W115,0)</f>
        <v>0</v>
      </c>
    </row>
    <row r="116" spans="1:32" ht="12.75" customHeight="1" x14ac:dyDescent="0.35">
      <c r="A116" s="17"/>
      <c r="B116" s="17"/>
      <c r="C116" s="17"/>
      <c r="D116" s="17"/>
      <c r="E116" s="17"/>
      <c r="F116" s="36">
        <f t="shared" ca="1" si="11"/>
        <v>0.50339226561054806</v>
      </c>
      <c r="G116" s="1248">
        <v>0</v>
      </c>
      <c r="H116" s="17"/>
      <c r="I116" s="17">
        <v>2017</v>
      </c>
      <c r="J116" s="17" t="s">
        <v>6234</v>
      </c>
      <c r="K116" s="17">
        <v>25</v>
      </c>
      <c r="L116" s="17">
        <v>0</v>
      </c>
      <c r="M116" s="17">
        <v>2</v>
      </c>
      <c r="N116" s="17">
        <v>2</v>
      </c>
      <c r="O116" s="17">
        <v>1</v>
      </c>
      <c r="P116" s="17"/>
      <c r="Q116" s="17"/>
      <c r="R116" s="17"/>
      <c r="S116" s="17"/>
      <c r="T116" s="17"/>
      <c r="U116" s="17"/>
      <c r="V116" s="129" t="str">
        <f t="shared" si="13"/>
        <v>38 years</v>
      </c>
      <c r="W116" s="17">
        <v>38</v>
      </c>
      <c r="X116" s="17" t="str">
        <f>IF(Language&lt;&gt;5,'Basic Values'!$B$9,IF(W116&lt;5,"lata","lat"))</f>
        <v>years</v>
      </c>
      <c r="Y116" s="17">
        <f t="shared" si="14"/>
        <v>0</v>
      </c>
      <c r="Z116" s="70">
        <f>IF(Y116&lt;&gt;0,(PerpetuityBaseValue*IF(PerpetuityGrowing=2,(1+Result!$G$28/100)^Specs!W116,1))/(1+DiscYear/100)^$W116,0)</f>
        <v>0</v>
      </c>
      <c r="AA116" s="17">
        <f t="shared" si="15"/>
        <v>0</v>
      </c>
      <c r="AB116" s="70">
        <f>IF(AA116&lt;&gt;0,(PerpetuityBaseValueEquity*IF(PerpetuityGrowing=2,1+Result!$G$108/100,1))/(1+DiscYearEquity/100)^$W116,0)</f>
        <v>0</v>
      </c>
      <c r="AC116" s="70">
        <f>IF(Y116&lt;&gt;0,(PerpetuityBaseValue*IF(PerpetuityGrowing=2,(1+Result!$G$28/100)^Specs!W116,1))/(1+Calculations!$D$1056)^$W116,0)</f>
        <v>0</v>
      </c>
      <c r="AD116" s="70">
        <f>IF(Y116&lt;&gt;0,(PerpetuityBaseValue*IF(PerpetuityGrowing=2,(1+Result!$G$28/100)^Specs!W116,1))/(1+Calculations!$D$1057)^$W116,0)</f>
        <v>0</v>
      </c>
      <c r="AE116" s="70">
        <f>IF(Y116&lt;&gt;0,(PerpetuityBaseValue*IF(PerpetuityGrowing=2,(1+Result!$G$28/100)^Specs!W116,1))/(1+Calculations!$D$1059)^$W116,0)</f>
        <v>0</v>
      </c>
      <c r="AF116" s="70">
        <f>IF(Y116&lt;&gt;0,(PerpetuityBaseValue*IF(PerpetuityGrowing=2,(1+Result!$G$28/100)^Specs!W116,1))/(1+Calculations!$D$1060)^$W116,0)</f>
        <v>0</v>
      </c>
    </row>
    <row r="117" spans="1:32" ht="12.75" customHeight="1" x14ac:dyDescent="0.35">
      <c r="A117" s="17"/>
      <c r="B117" s="17"/>
      <c r="C117" s="17"/>
      <c r="D117" s="17"/>
      <c r="E117" s="17"/>
      <c r="F117" s="36">
        <f t="shared" ca="1" si="11"/>
        <v>0.50339226561054806</v>
      </c>
      <c r="G117" s="93">
        <f t="shared" ca="1" si="12"/>
        <v>1</v>
      </c>
      <c r="H117" s="17"/>
      <c r="I117" s="17">
        <v>2017</v>
      </c>
      <c r="J117" s="17" t="s">
        <v>6233</v>
      </c>
      <c r="K117" s="17">
        <v>0</v>
      </c>
      <c r="L117" s="17">
        <v>1</v>
      </c>
      <c r="M117" s="17">
        <v>2</v>
      </c>
      <c r="N117" s="17">
        <v>2</v>
      </c>
      <c r="O117" s="17">
        <v>1</v>
      </c>
      <c r="P117" s="17"/>
      <c r="Q117" s="17"/>
      <c r="R117" s="17"/>
      <c r="S117" s="17"/>
      <c r="T117" s="17"/>
      <c r="U117" s="17"/>
      <c r="V117" s="129" t="str">
        <f t="shared" si="13"/>
        <v>39 years</v>
      </c>
      <c r="W117" s="17">
        <v>39</v>
      </c>
      <c r="X117" s="17" t="str">
        <f>IF(Language&lt;&gt;5,'Basic Values'!$B$9,IF(W117&lt;5,"lata","lat"))</f>
        <v>years</v>
      </c>
      <c r="Y117" s="17">
        <f t="shared" si="14"/>
        <v>0</v>
      </c>
      <c r="Z117" s="70">
        <f>IF(Y117&lt;&gt;0,(PerpetuityBaseValue*IF(PerpetuityGrowing=2,(1+Result!$G$28/100)^Specs!W117,1))/(1+DiscYear/100)^$W117,0)</f>
        <v>0</v>
      </c>
      <c r="AA117" s="17">
        <f t="shared" si="15"/>
        <v>0</v>
      </c>
      <c r="AB117" s="70">
        <f>IF(AA117&lt;&gt;0,(PerpetuityBaseValueEquity*IF(PerpetuityGrowing=2,1+Result!$G$108/100,1))/(1+DiscYearEquity/100)^$W117,0)</f>
        <v>0</v>
      </c>
      <c r="AC117" s="70">
        <f>IF(Y117&lt;&gt;0,(PerpetuityBaseValue*IF(PerpetuityGrowing=2,(1+Result!$G$28/100)^Specs!W117,1))/(1+Calculations!$D$1056)^$W117,0)</f>
        <v>0</v>
      </c>
      <c r="AD117" s="70">
        <f>IF(Y117&lt;&gt;0,(PerpetuityBaseValue*IF(PerpetuityGrowing=2,(1+Result!$G$28/100)^Specs!W117,1))/(1+Calculations!$D$1057)^$W117,0)</f>
        <v>0</v>
      </c>
      <c r="AE117" s="70">
        <f>IF(Y117&lt;&gt;0,(PerpetuityBaseValue*IF(PerpetuityGrowing=2,(1+Result!$G$28/100)^Specs!W117,1))/(1+Calculations!$D$1059)^$W117,0)</f>
        <v>0</v>
      </c>
      <c r="AF117" s="70">
        <f>IF(Y117&lt;&gt;0,(PerpetuityBaseValue*IF(PerpetuityGrowing=2,(1+Result!$G$28/100)^Specs!W117,1))/(1+Calculations!$D$1060)^$W117,0)</f>
        <v>0</v>
      </c>
    </row>
    <row r="118" spans="1:32" ht="12.75" customHeight="1" x14ac:dyDescent="0.35">
      <c r="A118" s="17"/>
      <c r="B118" s="17"/>
      <c r="C118" s="17"/>
      <c r="D118" s="17"/>
      <c r="E118" s="17"/>
      <c r="F118" s="36">
        <f t="shared" ca="1" si="11"/>
        <v>0.50339226561054806</v>
      </c>
      <c r="G118" s="1248">
        <v>0</v>
      </c>
      <c r="H118" s="17"/>
      <c r="I118" s="17">
        <v>2017</v>
      </c>
      <c r="J118" s="17" t="s">
        <v>6237</v>
      </c>
      <c r="K118" s="17">
        <v>0</v>
      </c>
      <c r="L118" s="17">
        <v>0</v>
      </c>
      <c r="M118" s="17">
        <v>2</v>
      </c>
      <c r="N118" s="17">
        <v>2</v>
      </c>
      <c r="O118" s="17">
        <v>0</v>
      </c>
      <c r="P118" s="17"/>
      <c r="Q118" s="17"/>
      <c r="R118" s="17"/>
      <c r="S118" s="17"/>
      <c r="T118" s="17"/>
      <c r="U118" s="17"/>
      <c r="V118" s="129" t="str">
        <f t="shared" si="13"/>
        <v>40 years</v>
      </c>
      <c r="W118" s="17">
        <v>40</v>
      </c>
      <c r="X118" s="17" t="str">
        <f>IF(Language&lt;&gt;5,'Basic Values'!$B$9,IF(W118&lt;5,"lata","lat"))</f>
        <v>years</v>
      </c>
      <c r="Y118" s="17">
        <f t="shared" si="14"/>
        <v>0</v>
      </c>
      <c r="Z118" s="70">
        <f>IF(Y118&lt;&gt;0,(PerpetuityBaseValue*IF(PerpetuityGrowing=2,(1+Result!$G$28/100)^Specs!W118,1))/(1+DiscYear/100)^$W118,0)</f>
        <v>0</v>
      </c>
      <c r="AA118" s="17">
        <f t="shared" si="15"/>
        <v>0</v>
      </c>
      <c r="AB118" s="70">
        <f>IF(AA118&lt;&gt;0,(PerpetuityBaseValueEquity*IF(PerpetuityGrowing=2,1+Result!$G$108/100,1))/(1+DiscYearEquity/100)^$W118,0)</f>
        <v>0</v>
      </c>
      <c r="AC118" s="70">
        <f>IF(Y118&lt;&gt;0,(PerpetuityBaseValue*IF(PerpetuityGrowing=2,(1+Result!$G$28/100)^Specs!W118,1))/(1+Calculations!$D$1056)^$W118,0)</f>
        <v>0</v>
      </c>
      <c r="AD118" s="70">
        <f>IF(Y118&lt;&gt;0,(PerpetuityBaseValue*IF(PerpetuityGrowing=2,(1+Result!$G$28/100)^Specs!W118,1))/(1+Calculations!$D$1057)^$W118,0)</f>
        <v>0</v>
      </c>
      <c r="AE118" s="70">
        <f>IF(Y118&lt;&gt;0,(PerpetuityBaseValue*IF(PerpetuityGrowing=2,(1+Result!$G$28/100)^Specs!W118,1))/(1+Calculations!$D$1059)^$W118,0)</f>
        <v>0</v>
      </c>
      <c r="AF118" s="70">
        <f>IF(Y118&lt;&gt;0,(PerpetuityBaseValue*IF(PerpetuityGrowing=2,(1+Result!$G$28/100)^Specs!W118,1))/(1+Calculations!$D$1060)^$W118,0)</f>
        <v>0</v>
      </c>
    </row>
    <row r="119" spans="1:32" ht="12.75" customHeight="1" x14ac:dyDescent="0.35">
      <c r="A119" s="17"/>
      <c r="B119" s="17"/>
      <c r="C119" s="17"/>
      <c r="D119" s="17"/>
      <c r="E119" s="17"/>
      <c r="F119" s="36">
        <f t="shared" ca="1" si="11"/>
        <v>0.50339226561054806</v>
      </c>
      <c r="G119" s="93">
        <f t="shared" ca="1" si="12"/>
        <v>1</v>
      </c>
      <c r="H119" s="17"/>
      <c r="I119" s="17">
        <v>2017</v>
      </c>
      <c r="J119" s="17" t="s">
        <v>843</v>
      </c>
      <c r="K119" s="17">
        <v>0</v>
      </c>
      <c r="L119" s="17">
        <v>1</v>
      </c>
      <c r="M119" s="17">
        <v>2</v>
      </c>
      <c r="N119" s="17">
        <v>2</v>
      </c>
      <c r="O119" s="17">
        <v>0</v>
      </c>
      <c r="P119" s="17"/>
      <c r="Q119" s="17"/>
      <c r="R119" s="17"/>
      <c r="S119" s="17"/>
      <c r="T119" s="17"/>
      <c r="U119" s="17"/>
      <c r="V119" s="129" t="str">
        <f t="shared" si="13"/>
        <v>41 years</v>
      </c>
      <c r="W119" s="17">
        <v>41</v>
      </c>
      <c r="X119" s="17" t="str">
        <f>IF(Language&lt;&gt;5,'Basic Values'!$B$9,IF(W119&lt;5,"lata","lat"))</f>
        <v>years</v>
      </c>
      <c r="Y119" s="17">
        <f t="shared" si="14"/>
        <v>0</v>
      </c>
      <c r="Z119" s="70">
        <f>IF(Y119&lt;&gt;0,(PerpetuityBaseValue*IF(PerpetuityGrowing=2,(1+Result!$G$28/100)^Specs!W119,1))/(1+DiscYear/100)^$W119,0)</f>
        <v>0</v>
      </c>
      <c r="AA119" s="17">
        <f t="shared" si="15"/>
        <v>0</v>
      </c>
      <c r="AB119" s="70">
        <f>IF(AA119&lt;&gt;0,(PerpetuityBaseValueEquity*IF(PerpetuityGrowing=2,1+Result!$G$108/100,1))/(1+DiscYearEquity/100)^$W119,0)</f>
        <v>0</v>
      </c>
      <c r="AC119" s="70">
        <f>IF(Y119&lt;&gt;0,(PerpetuityBaseValue*IF(PerpetuityGrowing=2,(1+Result!$G$28/100)^Specs!W119,1))/(1+Calculations!$D$1056)^$W119,0)</f>
        <v>0</v>
      </c>
      <c r="AD119" s="70">
        <f>IF(Y119&lt;&gt;0,(PerpetuityBaseValue*IF(PerpetuityGrowing=2,(1+Result!$G$28/100)^Specs!W119,1))/(1+Calculations!$D$1057)^$W119,0)</f>
        <v>0</v>
      </c>
      <c r="AE119" s="70">
        <f>IF(Y119&lt;&gt;0,(PerpetuityBaseValue*IF(PerpetuityGrowing=2,(1+Result!$G$28/100)^Specs!W119,1))/(1+Calculations!$D$1059)^$W119,0)</f>
        <v>0</v>
      </c>
      <c r="AF119" s="70">
        <f>IF(Y119&lt;&gt;0,(PerpetuityBaseValue*IF(PerpetuityGrowing=2,(1+Result!$G$28/100)^Specs!W119,1))/(1+Calculations!$D$1060)^$W119,0)</f>
        <v>0</v>
      </c>
    </row>
    <row r="120" spans="1:32" ht="12.75" customHeight="1" x14ac:dyDescent="0.35">
      <c r="A120" s="17"/>
      <c r="B120" s="17"/>
      <c r="C120" s="17"/>
      <c r="D120" s="17"/>
      <c r="E120" s="17"/>
      <c r="F120" s="43">
        <f t="shared" ca="1" si="11"/>
        <v>0.50339226561054384</v>
      </c>
      <c r="G120" s="95">
        <f t="shared" ca="1" si="12"/>
        <v>1</v>
      </c>
      <c r="H120" s="17"/>
      <c r="I120" s="17"/>
      <c r="J120" s="17"/>
      <c r="K120" s="17"/>
      <c r="L120" s="17"/>
      <c r="M120" s="17"/>
      <c r="N120" s="17"/>
      <c r="O120" s="17"/>
      <c r="P120" s="17"/>
      <c r="Q120" s="17"/>
      <c r="R120" s="17"/>
      <c r="S120" s="17"/>
      <c r="T120" s="17"/>
      <c r="U120" s="17"/>
      <c r="V120" s="129" t="str">
        <f t="shared" si="13"/>
        <v>42 years</v>
      </c>
      <c r="W120" s="17">
        <v>42</v>
      </c>
      <c r="X120" s="17" t="str">
        <f>IF(Language&lt;&gt;5,'Basic Values'!$B$9,IF(W120&lt;5,"lata","lat"))</f>
        <v>years</v>
      </c>
      <c r="Y120" s="17">
        <f t="shared" si="14"/>
        <v>0</v>
      </c>
      <c r="Z120" s="70">
        <f>IF(Y120&lt;&gt;0,(PerpetuityBaseValue*IF(PerpetuityGrowing=2,(1+Result!$G$28/100)^Specs!W120,1))/(1+DiscYear/100)^$W120,0)</f>
        <v>0</v>
      </c>
      <c r="AA120" s="17">
        <f t="shared" si="15"/>
        <v>0</v>
      </c>
      <c r="AB120" s="70">
        <f>IF(AA120&lt;&gt;0,(PerpetuityBaseValueEquity*IF(PerpetuityGrowing=2,1+Result!$G$108/100,1))/(1+DiscYearEquity/100)^$W120,0)</f>
        <v>0</v>
      </c>
      <c r="AC120" s="70">
        <f>IF(Y120&lt;&gt;0,(PerpetuityBaseValue*IF(PerpetuityGrowing=2,(1+Result!$G$28/100)^Specs!W120,1))/(1+Calculations!$D$1056)^$W120,0)</f>
        <v>0</v>
      </c>
      <c r="AD120" s="70">
        <f>IF(Y120&lt;&gt;0,(PerpetuityBaseValue*IF(PerpetuityGrowing=2,(1+Result!$G$28/100)^Specs!W120,1))/(1+Calculations!$D$1057)^$W120,0)</f>
        <v>0</v>
      </c>
      <c r="AE120" s="70">
        <f>IF(Y120&lt;&gt;0,(PerpetuityBaseValue*IF(PerpetuityGrowing=2,(1+Result!$G$28/100)^Specs!W120,1))/(1+Calculations!$D$1059)^$W120,0)</f>
        <v>0</v>
      </c>
      <c r="AF120" s="70">
        <f>IF(Y120&lt;&gt;0,(PerpetuityBaseValue*IF(PerpetuityGrowing=2,(1+Result!$G$28/100)^Specs!W120,1))/(1+Calculations!$D$1060)^$W120,0)</f>
        <v>0</v>
      </c>
    </row>
    <row r="121" spans="1:32" ht="12.75" customHeight="1" x14ac:dyDescent="0.35">
      <c r="A121" s="17"/>
      <c r="B121" s="17"/>
      <c r="C121" s="17"/>
      <c r="D121" s="17"/>
      <c r="E121" s="17"/>
      <c r="F121" s="96" t="s">
        <v>2420</v>
      </c>
      <c r="G121" s="17"/>
      <c r="H121" s="17"/>
      <c r="I121" s="17"/>
      <c r="J121" s="17"/>
      <c r="K121" s="17"/>
      <c r="L121" s="17"/>
      <c r="M121" s="17"/>
      <c r="N121" s="17"/>
      <c r="O121" s="17"/>
      <c r="P121" s="17"/>
      <c r="Q121" s="17"/>
      <c r="R121" s="17"/>
      <c r="S121" s="17"/>
      <c r="T121" s="17"/>
      <c r="U121" s="17"/>
      <c r="V121" s="129" t="str">
        <f t="shared" si="13"/>
        <v>43 years</v>
      </c>
      <c r="W121" s="17">
        <v>43</v>
      </c>
      <c r="X121" s="17" t="str">
        <f>IF(Language&lt;&gt;5,'Basic Values'!$B$9,IF(W121&lt;5,"lata","lat"))</f>
        <v>years</v>
      </c>
      <c r="Y121" s="17">
        <f t="shared" si="14"/>
        <v>0</v>
      </c>
      <c r="Z121" s="70">
        <f>IF(Y121&lt;&gt;0,(PerpetuityBaseValue*IF(PerpetuityGrowing=2,(1+Result!$G$28/100)^Specs!W121,1))/(1+DiscYear/100)^$W121,0)</f>
        <v>0</v>
      </c>
      <c r="AA121" s="17">
        <f t="shared" si="15"/>
        <v>0</v>
      </c>
      <c r="AB121" s="70">
        <f>IF(AA121&lt;&gt;0,(PerpetuityBaseValueEquity*IF(PerpetuityGrowing=2,1+Result!$G$108/100,1))/(1+DiscYearEquity/100)^$W121,0)</f>
        <v>0</v>
      </c>
      <c r="AC121" s="70">
        <f>IF(Y121&lt;&gt;0,(PerpetuityBaseValue*IF(PerpetuityGrowing=2,(1+Result!$G$28/100)^Specs!W121,1))/(1+Calculations!$D$1056)^$W121,0)</f>
        <v>0</v>
      </c>
      <c r="AD121" s="70">
        <f>IF(Y121&lt;&gt;0,(PerpetuityBaseValue*IF(PerpetuityGrowing=2,(1+Result!$G$28/100)^Specs!W121,1))/(1+Calculations!$D$1057)^$W121,0)</f>
        <v>0</v>
      </c>
      <c r="AE121" s="70">
        <f>IF(Y121&lt;&gt;0,(PerpetuityBaseValue*IF(PerpetuityGrowing=2,(1+Result!$G$28/100)^Specs!W121,1))/(1+Calculations!$D$1059)^$W121,0)</f>
        <v>0</v>
      </c>
      <c r="AF121" s="70">
        <f>IF(Y121&lt;&gt;0,(PerpetuityBaseValue*IF(PerpetuityGrowing=2,(1+Result!$G$28/100)^Specs!W121,1))/(1+Calculations!$D$1060)^$W121,0)</f>
        <v>0</v>
      </c>
    </row>
    <row r="122" spans="1:32" ht="12.75" customHeight="1" x14ac:dyDescent="0.35">
      <c r="A122" s="17"/>
      <c r="B122" s="17"/>
      <c r="C122" s="17"/>
      <c r="D122" s="17"/>
      <c r="E122" s="17"/>
      <c r="F122" s="1245">
        <f ca="1">IF(AND(G122&lt;&gt;G124,G125&lt;&gt;0),IF(G122&gt;-G125,G122,G124),G122)</f>
        <v>0.50339226561054007</v>
      </c>
      <c r="G122" s="133">
        <f ca="1">MIN(F99:F120)</f>
        <v>0.50339226561054007</v>
      </c>
      <c r="H122" s="17"/>
      <c r="I122" s="17"/>
      <c r="J122" s="17"/>
      <c r="K122" s="17"/>
      <c r="L122" s="17"/>
      <c r="M122" s="17"/>
      <c r="N122" s="17"/>
      <c r="O122" s="17"/>
      <c r="P122" s="17"/>
      <c r="Q122" s="17"/>
      <c r="R122" s="17"/>
      <c r="S122" s="17"/>
      <c r="T122" s="17"/>
      <c r="U122" s="17"/>
      <c r="V122" s="129" t="str">
        <f t="shared" si="13"/>
        <v>44 years</v>
      </c>
      <c r="W122" s="17">
        <v>44</v>
      </c>
      <c r="X122" s="17" t="str">
        <f>IF(Language&lt;&gt;5,'Basic Values'!$B$9,IF(W122&lt;5,"lata","lat"))</f>
        <v>years</v>
      </c>
      <c r="Y122" s="17">
        <f t="shared" si="14"/>
        <v>0</v>
      </c>
      <c r="Z122" s="70">
        <f>IF(Y122&lt;&gt;0,(PerpetuityBaseValue*IF(PerpetuityGrowing=2,(1+Result!$G$28/100)^Specs!W122,1))/(1+DiscYear/100)^$W122,0)</f>
        <v>0</v>
      </c>
      <c r="AA122" s="17">
        <f t="shared" si="15"/>
        <v>0</v>
      </c>
      <c r="AB122" s="70">
        <f>IF(AA122&lt;&gt;0,(PerpetuityBaseValueEquity*IF(PerpetuityGrowing=2,1+Result!$G$108/100,1))/(1+DiscYearEquity/100)^$W122,0)</f>
        <v>0</v>
      </c>
      <c r="AC122" s="70">
        <f>IF(Y122&lt;&gt;0,(PerpetuityBaseValue*IF(PerpetuityGrowing=2,(1+Result!$G$28/100)^Specs!W122,1))/(1+Calculations!$D$1056)^$W122,0)</f>
        <v>0</v>
      </c>
      <c r="AD122" s="70">
        <f>IF(Y122&lt;&gt;0,(PerpetuityBaseValue*IF(PerpetuityGrowing=2,(1+Result!$G$28/100)^Specs!W122,1))/(1+Calculations!$D$1057)^$W122,0)</f>
        <v>0</v>
      </c>
      <c r="AE122" s="70">
        <f>IF(Y122&lt;&gt;0,(PerpetuityBaseValue*IF(PerpetuityGrowing=2,(1+Result!$G$28/100)^Specs!W122,1))/(1+Calculations!$D$1059)^$W122,0)</f>
        <v>0</v>
      </c>
      <c r="AF122" s="70">
        <f>IF(Y122&lt;&gt;0,(PerpetuityBaseValue*IF(PerpetuityGrowing=2,(1+Result!$G$28/100)^Specs!W122,1))/(1+Calculations!$D$1060)^$W122,0)</f>
        <v>0</v>
      </c>
    </row>
    <row r="123" spans="1:32" ht="12.75" customHeight="1" x14ac:dyDescent="0.35">
      <c r="A123" s="17"/>
      <c r="B123" s="17"/>
      <c r="C123" s="17"/>
      <c r="D123" s="17"/>
      <c r="E123" s="17"/>
      <c r="F123" s="85" t="s">
        <v>2421</v>
      </c>
      <c r="G123" s="133">
        <f ca="1">ABS(SUMIF(IrrCashFlow,"&gt;0")/-SUMIF(IrrCashFlow,"&lt;0")-1)</f>
        <v>3.6384050103291283</v>
      </c>
      <c r="H123" s="17"/>
      <c r="I123" s="17"/>
      <c r="J123" s="17"/>
      <c r="K123" s="17"/>
      <c r="L123" s="17"/>
      <c r="M123" s="17"/>
      <c r="N123" s="17"/>
      <c r="O123" s="17"/>
      <c r="P123" s="17"/>
      <c r="Q123" s="17"/>
      <c r="R123" s="17"/>
      <c r="S123" s="17"/>
      <c r="T123" s="17"/>
      <c r="U123" s="17"/>
      <c r="V123" s="129" t="str">
        <f t="shared" si="13"/>
        <v>45 years</v>
      </c>
      <c r="W123" s="17">
        <v>45</v>
      </c>
      <c r="X123" s="17" t="str">
        <f>IF(Language&lt;&gt;5,'Basic Values'!$B$9,IF(W123&lt;5,"lata","lat"))</f>
        <v>years</v>
      </c>
      <c r="Y123" s="17">
        <f t="shared" si="14"/>
        <v>0</v>
      </c>
      <c r="Z123" s="70">
        <f>IF(Y123&lt;&gt;0,(PerpetuityBaseValue*IF(PerpetuityGrowing=2,(1+Result!$G$28/100)^Specs!W123,1))/(1+DiscYear/100)^$W123,0)</f>
        <v>0</v>
      </c>
      <c r="AA123" s="17">
        <f t="shared" si="15"/>
        <v>0</v>
      </c>
      <c r="AB123" s="70">
        <f>IF(AA123&lt;&gt;0,(PerpetuityBaseValueEquity*IF(PerpetuityGrowing=2,1+Result!$G$108/100,1))/(1+DiscYearEquity/100)^$W123,0)</f>
        <v>0</v>
      </c>
      <c r="AC123" s="70">
        <f>IF(Y123&lt;&gt;0,(PerpetuityBaseValue*IF(PerpetuityGrowing=2,(1+Result!$G$28/100)^Specs!W123,1))/(1+Calculations!$D$1056)^$W123,0)</f>
        <v>0</v>
      </c>
      <c r="AD123" s="70">
        <f>IF(Y123&lt;&gt;0,(PerpetuityBaseValue*IF(PerpetuityGrowing=2,(1+Result!$G$28/100)^Specs!W123,1))/(1+Calculations!$D$1057)^$W123,0)</f>
        <v>0</v>
      </c>
      <c r="AE123" s="70">
        <f>IF(Y123&lt;&gt;0,(PerpetuityBaseValue*IF(PerpetuityGrowing=2,(1+Result!$G$28/100)^Specs!W123,1))/(1+Calculations!$D$1059)^$W123,0)</f>
        <v>0</v>
      </c>
      <c r="AF123" s="70">
        <f>IF(Y123&lt;&gt;0,(PerpetuityBaseValue*IF(PerpetuityGrowing=2,(1+Result!$G$28/100)^Specs!W123,1))/(1+Calculations!$D$1060)^$W123,0)</f>
        <v>0</v>
      </c>
    </row>
    <row r="124" spans="1:32" ht="12.75" customHeight="1" x14ac:dyDescent="0.35">
      <c r="A124" s="17"/>
      <c r="B124" s="17"/>
      <c r="C124" s="17"/>
      <c r="D124" s="17"/>
      <c r="E124" s="17"/>
      <c r="F124" s="1245">
        <f ca="1">IF(AND(G122&lt;&gt;G124,G125&lt;&gt;0),IF(G124&gt;-G125,G124,G122),G124)</f>
        <v>0.50339226561055161</v>
      </c>
      <c r="G124" s="133">
        <f ca="1">MAX(F99:F120)</f>
        <v>0.50339226561055161</v>
      </c>
      <c r="H124" s="17"/>
      <c r="I124" s="17"/>
      <c r="J124" s="17"/>
      <c r="K124" s="17"/>
      <c r="L124" s="17"/>
      <c r="M124" s="17"/>
      <c r="N124" s="17"/>
      <c r="O124" s="17"/>
      <c r="P124" s="17"/>
      <c r="Q124" s="17"/>
      <c r="R124" s="17"/>
      <c r="S124" s="17"/>
      <c r="T124" s="17"/>
      <c r="U124" s="17"/>
      <c r="V124" s="129" t="str">
        <f t="shared" si="13"/>
        <v>46 years</v>
      </c>
      <c r="W124" s="17">
        <v>46</v>
      </c>
      <c r="X124" s="17" t="str">
        <f>IF(Language&lt;&gt;5,'Basic Values'!$B$9,IF(W124&lt;5,"lata","lat"))</f>
        <v>years</v>
      </c>
      <c r="Y124" s="17">
        <f t="shared" si="14"/>
        <v>0</v>
      </c>
      <c r="Z124" s="70">
        <f>IF(Y124&lt;&gt;0,(PerpetuityBaseValue*IF(PerpetuityGrowing=2,(1+Result!$G$28/100)^Specs!W124,1))/(1+DiscYear/100)^$W124,0)</f>
        <v>0</v>
      </c>
      <c r="AA124" s="17">
        <f t="shared" si="15"/>
        <v>0</v>
      </c>
      <c r="AB124" s="70">
        <f>IF(AA124&lt;&gt;0,(PerpetuityBaseValueEquity*IF(PerpetuityGrowing=2,1+Result!$G$108/100,1))/(1+DiscYearEquity/100)^$W124,0)</f>
        <v>0</v>
      </c>
      <c r="AC124" s="70">
        <f>IF(Y124&lt;&gt;0,(PerpetuityBaseValue*IF(PerpetuityGrowing=2,(1+Result!$G$28/100)^Specs!W124,1))/(1+Calculations!$D$1056)^$W124,0)</f>
        <v>0</v>
      </c>
      <c r="AD124" s="70">
        <f>IF(Y124&lt;&gt;0,(PerpetuityBaseValue*IF(PerpetuityGrowing=2,(1+Result!$G$28/100)^Specs!W124,1))/(1+Calculations!$D$1057)^$W124,0)</f>
        <v>0</v>
      </c>
      <c r="AE124" s="70">
        <f>IF(Y124&lt;&gt;0,(PerpetuityBaseValue*IF(PerpetuityGrowing=2,(1+Result!$G$28/100)^Specs!W124,1))/(1+Calculations!$D$1059)^$W124,0)</f>
        <v>0</v>
      </c>
      <c r="AF124" s="70">
        <f>IF(Y124&lt;&gt;0,(PerpetuityBaseValue*IF(PerpetuityGrowing=2,(1+Result!$G$28/100)^Specs!W124,1))/(1+Calculations!$D$1060)^$W124,0)</f>
        <v>0</v>
      </c>
    </row>
    <row r="125" spans="1:32" ht="12.75" customHeight="1" x14ac:dyDescent="0.35">
      <c r="A125" s="17"/>
      <c r="B125" s="17"/>
      <c r="C125" s="17"/>
      <c r="D125" s="17"/>
      <c r="E125" s="17"/>
      <c r="F125" s="17" t="s">
        <v>5100</v>
      </c>
      <c r="G125" s="133">
        <f ca="1">IF(ISERROR(G123),0,G123)</f>
        <v>3.6384050103291283</v>
      </c>
      <c r="H125" s="17"/>
      <c r="I125" s="17"/>
      <c r="J125" s="17"/>
      <c r="K125" s="17"/>
      <c r="L125" s="17"/>
      <c r="M125" s="17"/>
      <c r="N125" s="17"/>
      <c r="O125" s="17"/>
      <c r="P125" s="17"/>
      <c r="Q125" s="17"/>
      <c r="R125" s="17"/>
      <c r="S125" s="17"/>
      <c r="T125" s="17"/>
      <c r="U125" s="17"/>
      <c r="V125" s="129" t="str">
        <f t="shared" si="13"/>
        <v>47 years</v>
      </c>
      <c r="W125" s="17">
        <v>47</v>
      </c>
      <c r="X125" s="17" t="str">
        <f>IF(Language&lt;&gt;5,'Basic Values'!$B$9,IF(W125&lt;5,"lata","lat"))</f>
        <v>years</v>
      </c>
      <c r="Y125" s="17">
        <f t="shared" si="14"/>
        <v>0</v>
      </c>
      <c r="Z125" s="70">
        <f>IF(Y125&lt;&gt;0,(PerpetuityBaseValue*IF(PerpetuityGrowing=2,(1+Result!$G$28/100)^Specs!W125,1))/(1+DiscYear/100)^$W125,0)</f>
        <v>0</v>
      </c>
      <c r="AA125" s="17">
        <f t="shared" si="15"/>
        <v>0</v>
      </c>
      <c r="AB125" s="70">
        <f>IF(AA125&lt;&gt;0,(PerpetuityBaseValueEquity*IF(PerpetuityGrowing=2,1+Result!$G$108/100,1))/(1+DiscYearEquity/100)^$W125,0)</f>
        <v>0</v>
      </c>
      <c r="AC125" s="70">
        <f>IF(Y125&lt;&gt;0,(PerpetuityBaseValue*IF(PerpetuityGrowing=2,(1+Result!$G$28/100)^Specs!W125,1))/(1+Calculations!$D$1056)^$W125,0)</f>
        <v>0</v>
      </c>
      <c r="AD125" s="70">
        <f>IF(Y125&lt;&gt;0,(PerpetuityBaseValue*IF(PerpetuityGrowing=2,(1+Result!$G$28/100)^Specs!W125,1))/(1+Calculations!$D$1057)^$W125,0)</f>
        <v>0</v>
      </c>
      <c r="AE125" s="70">
        <f>IF(Y125&lt;&gt;0,(PerpetuityBaseValue*IF(PerpetuityGrowing=2,(1+Result!$G$28/100)^Specs!W125,1))/(1+Calculations!$D$1059)^$W125,0)</f>
        <v>0</v>
      </c>
      <c r="AF125" s="70">
        <f>IF(Y125&lt;&gt;0,(PerpetuityBaseValue*IF(PerpetuityGrowing=2,(1+Result!$G$28/100)^Specs!W125,1))/(1+Calculations!$D$1060)^$W125,0)</f>
        <v>0</v>
      </c>
    </row>
    <row r="126" spans="1:32" ht="12.75" customHeight="1" x14ac:dyDescent="0.35">
      <c r="A126" s="17"/>
      <c r="B126" s="17"/>
      <c r="C126" s="17"/>
      <c r="D126" s="17"/>
      <c r="E126" s="17"/>
      <c r="F126" s="164" t="s">
        <v>2422</v>
      </c>
      <c r="G126" s="85" t="str">
        <f ca="1">IF(ISNA(G149),"-",OFFSET(G126,G149,0))</f>
        <v>-</v>
      </c>
      <c r="H126" s="17"/>
      <c r="I126" s="17"/>
      <c r="J126" s="17"/>
      <c r="K126" s="17"/>
      <c r="L126" s="17"/>
      <c r="M126" s="17"/>
      <c r="N126" s="17"/>
      <c r="O126" s="17"/>
      <c r="P126" s="17"/>
      <c r="Q126" s="17"/>
      <c r="R126" s="17"/>
      <c r="S126" s="17"/>
      <c r="T126" s="17"/>
      <c r="U126" s="17"/>
      <c r="V126" s="129" t="str">
        <f t="shared" si="13"/>
        <v>48 years</v>
      </c>
      <c r="W126" s="17">
        <v>48</v>
      </c>
      <c r="X126" s="17" t="str">
        <f>IF(Language&lt;&gt;5,'Basic Values'!$B$9,IF(W126&lt;5,"lata","lat"))</f>
        <v>years</v>
      </c>
      <c r="Y126" s="17">
        <f t="shared" si="14"/>
        <v>0</v>
      </c>
      <c r="Z126" s="70">
        <f>IF(Y126&lt;&gt;0,(PerpetuityBaseValue*IF(PerpetuityGrowing=2,(1+Result!$G$28/100)^Specs!W126,1))/(1+DiscYear/100)^$W126,0)</f>
        <v>0</v>
      </c>
      <c r="AA126" s="17">
        <f t="shared" si="15"/>
        <v>0</v>
      </c>
      <c r="AB126" s="70">
        <f>IF(AA126&lt;&gt;0,(PerpetuityBaseValueEquity*IF(PerpetuityGrowing=2,1+Result!$G$108/100,1))/(1+DiscYearEquity/100)^$W126,0)</f>
        <v>0</v>
      </c>
      <c r="AC126" s="70">
        <f>IF(Y126&lt;&gt;0,(PerpetuityBaseValue*IF(PerpetuityGrowing=2,(1+Result!$G$28/100)^Specs!W126,1))/(1+Calculations!$D$1056)^$W126,0)</f>
        <v>0</v>
      </c>
      <c r="AD126" s="70">
        <f>IF(Y126&lt;&gt;0,(PerpetuityBaseValue*IF(PerpetuityGrowing=2,(1+Result!$G$28/100)^Specs!W126,1))/(1+Calculations!$D$1057)^$W126,0)</f>
        <v>0</v>
      </c>
      <c r="AE126" s="70">
        <f>IF(Y126&lt;&gt;0,(PerpetuityBaseValue*IF(PerpetuityGrowing=2,(1+Result!$G$28/100)^Specs!W126,1))/(1+Calculations!$D$1059)^$W126,0)</f>
        <v>0</v>
      </c>
      <c r="AF126" s="70">
        <f>IF(Y126&lt;&gt;0,(PerpetuityBaseValue*IF(PerpetuityGrowing=2,(1+Result!$G$28/100)^Specs!W126,1))/(1+Calculations!$D$1060)^$W126,0)</f>
        <v>0</v>
      </c>
    </row>
    <row r="127" spans="1:32" ht="12.75" customHeight="1" x14ac:dyDescent="0.35">
      <c r="A127" s="17"/>
      <c r="B127" s="17"/>
      <c r="C127" s="17"/>
      <c r="D127" s="17"/>
      <c r="E127" s="17"/>
      <c r="F127" s="29">
        <f>F128*0.5</f>
        <v>1.1316398208850442E-3</v>
      </c>
      <c r="G127" s="86" t="e">
        <f t="shared" ref="G127:G132" si="16">IF(FCFEinUse=1,(1+IRR(IrrCashFlowEquity,$F127))^12-1,NA())</f>
        <v>#N/A</v>
      </c>
      <c r="H127" s="17"/>
      <c r="I127" s="17"/>
      <c r="J127" s="17"/>
      <c r="K127" s="17"/>
      <c r="L127" s="17"/>
      <c r="M127" s="17"/>
      <c r="N127" s="17"/>
      <c r="O127" s="17"/>
      <c r="P127" s="17"/>
      <c r="Q127" s="17"/>
      <c r="R127" s="17"/>
      <c r="S127" s="17"/>
      <c r="T127" s="17"/>
      <c r="U127" s="17"/>
      <c r="V127" s="129" t="str">
        <f t="shared" si="13"/>
        <v>49 years</v>
      </c>
      <c r="W127" s="17">
        <v>49</v>
      </c>
      <c r="X127" s="17" t="str">
        <f>IF(Language&lt;&gt;5,'Basic Values'!$B$9,IF(W127&lt;5,"lata","lat"))</f>
        <v>years</v>
      </c>
      <c r="Y127" s="17">
        <f t="shared" si="14"/>
        <v>0</v>
      </c>
      <c r="Z127" s="70">
        <f>IF(Y127&lt;&gt;0,(PerpetuityBaseValue*IF(PerpetuityGrowing=2,(1+Result!$G$28/100)^Specs!W127,1))/(1+DiscYear/100)^$W127,0)</f>
        <v>0</v>
      </c>
      <c r="AA127" s="17">
        <f t="shared" si="15"/>
        <v>0</v>
      </c>
      <c r="AB127" s="70">
        <f>IF(AA127&lt;&gt;0,(PerpetuityBaseValueEquity*IF(PerpetuityGrowing=2,1+Result!$G$108/100,1))/(1+DiscYearEquity/100)^$W127,0)</f>
        <v>0</v>
      </c>
      <c r="AC127" s="70">
        <f>IF(Y127&lt;&gt;0,(PerpetuityBaseValue*IF(PerpetuityGrowing=2,(1+Result!$G$28/100)^Specs!W127,1))/(1+Calculations!$D$1056)^$W127,0)</f>
        <v>0</v>
      </c>
      <c r="AD127" s="70">
        <f>IF(Y127&lt;&gt;0,(PerpetuityBaseValue*IF(PerpetuityGrowing=2,(1+Result!$G$28/100)^Specs!W127,1))/(1+Calculations!$D$1057)^$W127,0)</f>
        <v>0</v>
      </c>
      <c r="AE127" s="70">
        <f>IF(Y127&lt;&gt;0,(PerpetuityBaseValue*IF(PerpetuityGrowing=2,(1+Result!$G$28/100)^Specs!W127,1))/(1+Calculations!$D$1059)^$W127,0)</f>
        <v>0</v>
      </c>
      <c r="AF127" s="70">
        <f>IF(Y127&lt;&gt;0,(PerpetuityBaseValue*IF(PerpetuityGrowing=2,(1+Result!$G$28/100)^Specs!W127,1))/(1+Calculations!$D$1060)^$W127,0)</f>
        <v>0</v>
      </c>
    </row>
    <row r="128" spans="1:32" ht="12.75" customHeight="1" x14ac:dyDescent="0.35">
      <c r="A128" s="17"/>
      <c r="B128" s="17"/>
      <c r="C128" s="17"/>
      <c r="D128" s="17"/>
      <c r="E128" s="17"/>
      <c r="F128" s="36">
        <f>DiscMonth</f>
        <v>2.2632796417700884E-3</v>
      </c>
      <c r="G128" s="87" t="e">
        <f t="shared" si="16"/>
        <v>#N/A</v>
      </c>
      <c r="H128" s="17"/>
      <c r="I128" s="17"/>
      <c r="J128" s="17"/>
      <c r="K128" s="17"/>
      <c r="L128" s="17"/>
      <c r="M128" s="17"/>
      <c r="N128" s="17"/>
      <c r="O128" s="17"/>
      <c r="P128" s="17"/>
      <c r="Q128" s="17"/>
      <c r="R128" s="17"/>
      <c r="S128" s="17"/>
      <c r="T128" s="17"/>
      <c r="U128" s="17"/>
      <c r="V128" s="129" t="str">
        <f t="shared" si="13"/>
        <v>50 years</v>
      </c>
      <c r="W128" s="17">
        <v>50</v>
      </c>
      <c r="X128" s="17" t="str">
        <f>IF(Language&lt;&gt;5,'Basic Values'!$B$9,IF(W128&lt;5,"lata","lat"))</f>
        <v>years</v>
      </c>
      <c r="Y128" s="17">
        <f t="shared" si="14"/>
        <v>0</v>
      </c>
      <c r="Z128" s="70">
        <f>IF(Y128&lt;&gt;0,(PerpetuityBaseValue*IF(PerpetuityGrowing=2,(1+Result!$G$28/100)^Specs!W128,1))/(1+DiscYear/100)^$W128,0)</f>
        <v>0</v>
      </c>
      <c r="AA128" s="17">
        <f t="shared" si="15"/>
        <v>0</v>
      </c>
      <c r="AB128" s="70">
        <f>IF(AA128&lt;&gt;0,(PerpetuityBaseValueEquity*IF(PerpetuityGrowing=2,1+Result!$G$108/100,1))/(1+DiscYearEquity/100)^$W128,0)</f>
        <v>0</v>
      </c>
      <c r="AC128" s="70">
        <f>IF(Y128&lt;&gt;0,(PerpetuityBaseValue*IF(PerpetuityGrowing=2,(1+Result!$G$28/100)^Specs!W128,1))/(1+Calculations!$D$1056)^$W128,0)</f>
        <v>0</v>
      </c>
      <c r="AD128" s="70">
        <f>IF(Y128&lt;&gt;0,(PerpetuityBaseValue*IF(PerpetuityGrowing=2,(1+Result!$G$28/100)^Specs!W128,1))/(1+Calculations!$D$1057)^$W128,0)</f>
        <v>0</v>
      </c>
      <c r="AE128" s="70">
        <f>IF(Y128&lt;&gt;0,(PerpetuityBaseValue*IF(PerpetuityGrowing=2,(1+Result!$G$28/100)^Specs!W128,1))/(1+Calculations!$D$1059)^$W128,0)</f>
        <v>0</v>
      </c>
      <c r="AF128" s="70">
        <f>IF(Y128&lt;&gt;0,(PerpetuityBaseValue*IF(PerpetuityGrowing=2,(1+Result!$G$28/100)^Specs!W128,1))/(1+Calculations!$D$1060)^$W128,0)</f>
        <v>0</v>
      </c>
    </row>
    <row r="129" spans="1:32" ht="12.75" customHeight="1" x14ac:dyDescent="0.35">
      <c r="A129" s="17"/>
      <c r="B129" s="17"/>
      <c r="C129" s="17"/>
      <c r="D129" s="17"/>
      <c r="E129" s="17"/>
      <c r="F129" s="36">
        <f>F128*1.5</f>
        <v>3.3949194626551327E-3</v>
      </c>
      <c r="G129" s="87" t="e">
        <f t="shared" si="16"/>
        <v>#N/A</v>
      </c>
      <c r="H129" s="17"/>
      <c r="I129" s="17"/>
      <c r="J129" s="17"/>
      <c r="K129" s="17"/>
      <c r="L129" s="17"/>
      <c r="M129" s="17"/>
      <c r="N129" s="17"/>
      <c r="O129" s="17"/>
      <c r="P129" s="17"/>
      <c r="Q129" s="17"/>
      <c r="R129" s="17"/>
      <c r="S129" s="17"/>
      <c r="T129" s="17"/>
      <c r="U129" s="17"/>
      <c r="V129" s="129" t="str">
        <f t="shared" si="13"/>
        <v>51 years</v>
      </c>
      <c r="W129" s="17">
        <v>51</v>
      </c>
      <c r="X129" s="17" t="str">
        <f>IF(Language&lt;&gt;5,'Basic Values'!$B$9,IF(W129&lt;5,"lata","lat"))</f>
        <v>years</v>
      </c>
      <c r="Y129" s="17">
        <f t="shared" si="14"/>
        <v>0</v>
      </c>
      <c r="Z129" s="70">
        <f>IF(Y129&lt;&gt;0,(PerpetuityBaseValue*IF(PerpetuityGrowing=2,(1+Result!$G$28/100)^Specs!W129,1))/(1+DiscYear/100)^$W129,0)</f>
        <v>0</v>
      </c>
      <c r="AA129" s="17">
        <f t="shared" si="15"/>
        <v>0</v>
      </c>
      <c r="AB129" s="70">
        <f>IF(AA129&lt;&gt;0,(PerpetuityBaseValueEquity*IF(PerpetuityGrowing=2,1+Result!$G$108/100,1))/(1+DiscYearEquity/100)^$W129,0)</f>
        <v>0</v>
      </c>
      <c r="AC129" s="70">
        <f>IF(Y129&lt;&gt;0,(PerpetuityBaseValue*IF(PerpetuityGrowing=2,(1+Result!$G$28/100)^Specs!W129,1))/(1+Calculations!$D$1056)^$W129,0)</f>
        <v>0</v>
      </c>
      <c r="AD129" s="70">
        <f>IF(Y129&lt;&gt;0,(PerpetuityBaseValue*IF(PerpetuityGrowing=2,(1+Result!$G$28/100)^Specs!W129,1))/(1+Calculations!$D$1057)^$W129,0)</f>
        <v>0</v>
      </c>
      <c r="AE129" s="70">
        <f>IF(Y129&lt;&gt;0,(PerpetuityBaseValue*IF(PerpetuityGrowing=2,(1+Result!$G$28/100)^Specs!W129,1))/(1+Calculations!$D$1059)^$W129,0)</f>
        <v>0</v>
      </c>
      <c r="AF129" s="70">
        <f>IF(Y129&lt;&gt;0,(PerpetuityBaseValue*IF(PerpetuityGrowing=2,(1+Result!$G$28/100)^Specs!W129,1))/(1+Calculations!$D$1060)^$W129,0)</f>
        <v>0</v>
      </c>
    </row>
    <row r="130" spans="1:32" ht="12.75" customHeight="1" x14ac:dyDescent="0.35">
      <c r="A130" s="17"/>
      <c r="B130" s="17"/>
      <c r="C130" s="17"/>
      <c r="D130" s="17"/>
      <c r="E130" s="17"/>
      <c r="F130" s="36">
        <f>-F127</f>
        <v>-1.1316398208850442E-3</v>
      </c>
      <c r="G130" s="87" t="e">
        <f t="shared" si="16"/>
        <v>#N/A</v>
      </c>
      <c r="H130" s="17"/>
      <c r="I130" s="17"/>
      <c r="J130" s="17"/>
      <c r="K130" s="17"/>
      <c r="L130" s="17"/>
      <c r="M130" s="17"/>
      <c r="N130" s="17"/>
      <c r="O130" s="17"/>
      <c r="P130" s="17"/>
      <c r="Q130" s="17"/>
      <c r="R130" s="17"/>
      <c r="S130" s="17"/>
      <c r="T130" s="17"/>
      <c r="U130" s="17"/>
      <c r="V130" s="129" t="str">
        <f t="shared" si="13"/>
        <v>52 years</v>
      </c>
      <c r="W130" s="17">
        <v>52</v>
      </c>
      <c r="X130" s="17" t="str">
        <f>IF(Language&lt;&gt;5,'Basic Values'!$B$9,IF(W130&lt;5,"lata","lat"))</f>
        <v>years</v>
      </c>
      <c r="Y130" s="17">
        <f t="shared" si="14"/>
        <v>0</v>
      </c>
      <c r="Z130" s="70">
        <f>IF(Y130&lt;&gt;0,(PerpetuityBaseValue*IF(PerpetuityGrowing=2,(1+Result!$G$28/100)^Specs!W130,1))/(1+DiscYear/100)^$W130,0)</f>
        <v>0</v>
      </c>
      <c r="AA130" s="17">
        <f t="shared" si="15"/>
        <v>0</v>
      </c>
      <c r="AB130" s="70">
        <f>IF(AA130&lt;&gt;0,(PerpetuityBaseValueEquity*IF(PerpetuityGrowing=2,1+Result!$G$108/100,1))/(1+DiscYearEquity/100)^$W130,0)</f>
        <v>0</v>
      </c>
      <c r="AC130" s="70">
        <f>IF(Y130&lt;&gt;0,(PerpetuityBaseValue*IF(PerpetuityGrowing=2,(1+Result!$G$28/100)^Specs!W130,1))/(1+Calculations!$D$1056)^$W130,0)</f>
        <v>0</v>
      </c>
      <c r="AD130" s="70">
        <f>IF(Y130&lt;&gt;0,(PerpetuityBaseValue*IF(PerpetuityGrowing=2,(1+Result!$G$28/100)^Specs!W130,1))/(1+Calculations!$D$1057)^$W130,0)</f>
        <v>0</v>
      </c>
      <c r="AE130" s="70">
        <f>IF(Y130&lt;&gt;0,(PerpetuityBaseValue*IF(PerpetuityGrowing=2,(1+Result!$G$28/100)^Specs!W130,1))/(1+Calculations!$D$1059)^$W130,0)</f>
        <v>0</v>
      </c>
      <c r="AF130" s="70">
        <f>IF(Y130&lt;&gt;0,(PerpetuityBaseValue*IF(PerpetuityGrowing=2,(1+Result!$G$28/100)^Specs!W130,1))/(1+Calculations!$D$1060)^$W130,0)</f>
        <v>0</v>
      </c>
    </row>
    <row r="131" spans="1:32" ht="12.75" customHeight="1" x14ac:dyDescent="0.35">
      <c r="A131" s="17"/>
      <c r="B131" s="17"/>
      <c r="C131" s="17"/>
      <c r="D131" s="17"/>
      <c r="E131" s="17"/>
      <c r="F131" s="36">
        <f>-F128</f>
        <v>-2.2632796417700884E-3</v>
      </c>
      <c r="G131" s="87" t="e">
        <f t="shared" si="16"/>
        <v>#N/A</v>
      </c>
      <c r="H131" s="17"/>
      <c r="I131" s="17"/>
      <c r="J131" s="17"/>
      <c r="K131" s="17"/>
      <c r="L131" s="17"/>
      <c r="M131" s="17"/>
      <c r="N131" s="17"/>
      <c r="O131" s="17"/>
      <c r="P131" s="17"/>
      <c r="Q131" s="17"/>
      <c r="R131" s="17"/>
      <c r="S131" s="17"/>
      <c r="T131" s="17"/>
      <c r="U131" s="17"/>
      <c r="V131" s="129" t="str">
        <f t="shared" si="13"/>
        <v>53 years</v>
      </c>
      <c r="W131" s="17">
        <v>53</v>
      </c>
      <c r="X131" s="17" t="str">
        <f>IF(Language&lt;&gt;5,'Basic Values'!$B$9,IF(W131&lt;5,"lata","lat"))</f>
        <v>years</v>
      </c>
      <c r="Y131" s="17">
        <f t="shared" si="14"/>
        <v>0</v>
      </c>
      <c r="Z131" s="70">
        <f>IF(Y131&lt;&gt;0,(PerpetuityBaseValue*IF(PerpetuityGrowing=2,(1+Result!$G$28/100)^Specs!W131,1))/(1+DiscYear/100)^$W131,0)</f>
        <v>0</v>
      </c>
      <c r="AA131" s="17">
        <f t="shared" si="15"/>
        <v>0</v>
      </c>
      <c r="AB131" s="70">
        <f>IF(AA131&lt;&gt;0,(PerpetuityBaseValueEquity*IF(PerpetuityGrowing=2,1+Result!$G$108/100,1))/(1+DiscYearEquity/100)^$W131,0)</f>
        <v>0</v>
      </c>
      <c r="AC131" s="70">
        <f>IF(Y131&lt;&gt;0,(PerpetuityBaseValue*IF(PerpetuityGrowing=2,(1+Result!$G$28/100)^Specs!W131,1))/(1+Calculations!$D$1056)^$W131,0)</f>
        <v>0</v>
      </c>
      <c r="AD131" s="70">
        <f>IF(Y131&lt;&gt;0,(PerpetuityBaseValue*IF(PerpetuityGrowing=2,(1+Result!$G$28/100)^Specs!W131,1))/(1+Calculations!$D$1057)^$W131,0)</f>
        <v>0</v>
      </c>
      <c r="AE131" s="70">
        <f>IF(Y131&lt;&gt;0,(PerpetuityBaseValue*IF(PerpetuityGrowing=2,(1+Result!$G$28/100)^Specs!W131,1))/(1+Calculations!$D$1059)^$W131,0)</f>
        <v>0</v>
      </c>
      <c r="AF131" s="70">
        <f>IF(Y131&lt;&gt;0,(PerpetuityBaseValue*IF(PerpetuityGrowing=2,(1+Result!$G$28/100)^Specs!W131,1))/(1+Calculations!$D$1060)^$W131,0)</f>
        <v>0</v>
      </c>
    </row>
    <row r="132" spans="1:32" ht="12.75" customHeight="1" x14ac:dyDescent="0.35">
      <c r="A132" s="17"/>
      <c r="B132" s="17"/>
      <c r="C132" s="17"/>
      <c r="D132" s="17"/>
      <c r="E132" s="17"/>
      <c r="F132" s="36">
        <f>-F129</f>
        <v>-3.3949194626551327E-3</v>
      </c>
      <c r="G132" s="87" t="e">
        <f t="shared" si="16"/>
        <v>#N/A</v>
      </c>
      <c r="H132" s="17"/>
      <c r="I132" s="17"/>
      <c r="J132" s="17"/>
      <c r="K132" s="17"/>
      <c r="L132" s="17"/>
      <c r="M132" s="17"/>
      <c r="N132" s="17"/>
      <c r="O132" s="17"/>
      <c r="P132" s="17"/>
      <c r="Q132" s="17"/>
      <c r="R132" s="17"/>
      <c r="S132" s="17"/>
      <c r="T132" s="17"/>
      <c r="U132" s="17"/>
      <c r="V132" s="129" t="str">
        <f t="shared" si="13"/>
        <v>54 years</v>
      </c>
      <c r="W132" s="17">
        <v>54</v>
      </c>
      <c r="X132" s="17" t="str">
        <f>IF(Language&lt;&gt;5,'Basic Values'!$B$9,IF(W132&lt;5,"lata","lat"))</f>
        <v>years</v>
      </c>
      <c r="Y132" s="17">
        <f t="shared" si="14"/>
        <v>0</v>
      </c>
      <c r="Z132" s="70">
        <f>IF(Y132&lt;&gt;0,(PerpetuityBaseValue*IF(PerpetuityGrowing=2,(1+Result!$G$28/100)^Specs!W132,1))/(1+DiscYear/100)^$W132,0)</f>
        <v>0</v>
      </c>
      <c r="AA132" s="17">
        <f t="shared" si="15"/>
        <v>0</v>
      </c>
      <c r="AB132" s="70">
        <f>IF(AA132&lt;&gt;0,(PerpetuityBaseValueEquity*IF(PerpetuityGrowing=2,1+Result!$G$108/100,1))/(1+DiscYearEquity/100)^$W132,0)</f>
        <v>0</v>
      </c>
      <c r="AC132" s="70">
        <f>IF(Y132&lt;&gt;0,(PerpetuityBaseValue*IF(PerpetuityGrowing=2,(1+Result!$G$28/100)^Specs!W132,1))/(1+Calculations!$D$1056)^$W132,0)</f>
        <v>0</v>
      </c>
      <c r="AD132" s="70">
        <f>IF(Y132&lt;&gt;0,(PerpetuityBaseValue*IF(PerpetuityGrowing=2,(1+Result!$G$28/100)^Specs!W132,1))/(1+Calculations!$D$1057)^$W132,0)</f>
        <v>0</v>
      </c>
      <c r="AE132" s="70">
        <f>IF(Y132&lt;&gt;0,(PerpetuityBaseValue*IF(PerpetuityGrowing=2,(1+Result!$G$28/100)^Specs!W132,1))/(1+Calculations!$D$1059)^$W132,0)</f>
        <v>0</v>
      </c>
      <c r="AF132" s="70">
        <f>IF(Y132&lt;&gt;0,(PerpetuityBaseValue*IF(PerpetuityGrowing=2,(1+Result!$G$28/100)^Specs!W132,1))/(1+Calculations!$D$1060)^$W132,0)</f>
        <v>0</v>
      </c>
    </row>
    <row r="133" spans="1:32" ht="12.75" customHeight="1" x14ac:dyDescent="0.35">
      <c r="A133" s="17"/>
      <c r="B133" s="17"/>
      <c r="C133" s="17"/>
      <c r="D133" s="17"/>
      <c r="E133" s="17"/>
      <c r="F133" s="90">
        <v>-1</v>
      </c>
      <c r="G133" s="1249" t="e">
        <f>G134</f>
        <v>#N/A</v>
      </c>
      <c r="H133" s="17"/>
      <c r="I133" s="17"/>
      <c r="J133" s="17"/>
      <c r="K133" s="17"/>
      <c r="L133" s="17"/>
      <c r="M133" s="17"/>
      <c r="N133" s="17"/>
      <c r="O133" s="17"/>
      <c r="P133" s="17"/>
      <c r="Q133" s="17"/>
      <c r="R133" s="17"/>
      <c r="S133" s="17"/>
      <c r="T133" s="17"/>
      <c r="U133" s="17"/>
      <c r="V133" s="129" t="str">
        <f t="shared" si="13"/>
        <v>55 years</v>
      </c>
      <c r="W133" s="17">
        <v>55</v>
      </c>
      <c r="X133" s="17" t="str">
        <f>IF(Language&lt;&gt;5,'Basic Values'!$B$9,IF(W133&lt;5,"lata","lat"))</f>
        <v>years</v>
      </c>
      <c r="Y133" s="17">
        <f t="shared" si="14"/>
        <v>0</v>
      </c>
      <c r="Z133" s="70">
        <f>IF(Y133&lt;&gt;0,(PerpetuityBaseValue*IF(PerpetuityGrowing=2,(1+Result!$G$28/100)^Specs!W133,1))/(1+DiscYear/100)^$W133,0)</f>
        <v>0</v>
      </c>
      <c r="AA133" s="17">
        <f t="shared" si="15"/>
        <v>0</v>
      </c>
      <c r="AB133" s="70">
        <f>IF(AA133&lt;&gt;0,(PerpetuityBaseValueEquity*IF(PerpetuityGrowing=2,1+Result!$G$108/100,1))/(1+DiscYearEquity/100)^$W133,0)</f>
        <v>0</v>
      </c>
      <c r="AC133" s="70">
        <f>IF(Y133&lt;&gt;0,(PerpetuityBaseValue*IF(PerpetuityGrowing=2,(1+Result!$G$28/100)^Specs!W133,1))/(1+Calculations!$D$1056)^$W133,0)</f>
        <v>0</v>
      </c>
      <c r="AD133" s="70">
        <f>IF(Y133&lt;&gt;0,(PerpetuityBaseValue*IF(PerpetuityGrowing=2,(1+Result!$G$28/100)^Specs!W133,1))/(1+Calculations!$D$1057)^$W133,0)</f>
        <v>0</v>
      </c>
      <c r="AE133" s="70">
        <f>IF(Y133&lt;&gt;0,(PerpetuityBaseValue*IF(PerpetuityGrowing=2,(1+Result!$G$28/100)^Specs!W133,1))/(1+Calculations!$D$1059)^$W133,0)</f>
        <v>0</v>
      </c>
      <c r="AF133" s="70">
        <f>IF(Y133&lt;&gt;0,(PerpetuityBaseValue*IF(PerpetuityGrowing=2,(1+Result!$G$28/100)^Specs!W133,1))/(1+Calculations!$D$1060)^$W133,0)</f>
        <v>0</v>
      </c>
    </row>
    <row r="134" spans="1:32" ht="12.75" customHeight="1" x14ac:dyDescent="0.35">
      <c r="A134" s="17"/>
      <c r="B134" s="17"/>
      <c r="C134" s="17"/>
      <c r="D134" s="17"/>
      <c r="E134" s="17"/>
      <c r="F134" s="92">
        <v>-9.5462094216042792E-2</v>
      </c>
      <c r="G134" s="93" t="e">
        <f>IF(FCFEinUse=1,(1+IRR(IrrCashFlowEquity,$F134))^12-1,NA())</f>
        <v>#N/A</v>
      </c>
      <c r="H134" s="17"/>
      <c r="I134" s="17"/>
      <c r="J134" s="17"/>
      <c r="K134" s="17"/>
      <c r="L134" s="17"/>
      <c r="M134" s="17"/>
      <c r="N134" s="17"/>
      <c r="O134" s="17"/>
      <c r="P134" s="17"/>
      <c r="Q134" s="17"/>
      <c r="R134" s="17"/>
      <c r="S134" s="17"/>
      <c r="T134" s="17"/>
      <c r="U134" s="17"/>
      <c r="V134" s="129" t="str">
        <f t="shared" si="13"/>
        <v>56 years</v>
      </c>
      <c r="W134" s="17">
        <v>56</v>
      </c>
      <c r="X134" s="17" t="str">
        <f>IF(Language&lt;&gt;5,'Basic Values'!$B$9,IF(W134&lt;5,"lata","lat"))</f>
        <v>years</v>
      </c>
      <c r="Y134" s="17">
        <f t="shared" si="14"/>
        <v>0</v>
      </c>
      <c r="Z134" s="70">
        <f>IF(Y134&lt;&gt;0,(PerpetuityBaseValue*IF(PerpetuityGrowing=2,(1+Result!$G$28/100)^Specs!W134,1))/(1+DiscYear/100)^$W134,0)</f>
        <v>0</v>
      </c>
      <c r="AA134" s="17">
        <f t="shared" si="15"/>
        <v>0</v>
      </c>
      <c r="AB134" s="70">
        <f>IF(AA134&lt;&gt;0,(PerpetuityBaseValueEquity*IF(PerpetuityGrowing=2,1+Result!$G$108/100,1))/(1+DiscYearEquity/100)^$W134,0)</f>
        <v>0</v>
      </c>
      <c r="AC134" s="70">
        <f>IF(Y134&lt;&gt;0,(PerpetuityBaseValue*IF(PerpetuityGrowing=2,(1+Result!$G$28/100)^Specs!W134,1))/(1+Calculations!$D$1056)^$W134,0)</f>
        <v>0</v>
      </c>
      <c r="AD134" s="70">
        <f>IF(Y134&lt;&gt;0,(PerpetuityBaseValue*IF(PerpetuityGrowing=2,(1+Result!$G$28/100)^Specs!W134,1))/(1+Calculations!$D$1057)^$W134,0)</f>
        <v>0</v>
      </c>
      <c r="AE134" s="70">
        <f>IF(Y134&lt;&gt;0,(PerpetuityBaseValue*IF(PerpetuityGrowing=2,(1+Result!$G$28/100)^Specs!W134,1))/(1+Calculations!$D$1059)^$W134,0)</f>
        <v>0</v>
      </c>
      <c r="AF134" s="70">
        <f>IF(Y134&lt;&gt;0,(PerpetuityBaseValue*IF(PerpetuityGrowing=2,(1+Result!$G$28/100)^Specs!W134,1))/(1+Calculations!$D$1060)^$W134,0)</f>
        <v>0</v>
      </c>
    </row>
    <row r="135" spans="1:32" ht="12.75" customHeight="1" x14ac:dyDescent="0.35">
      <c r="A135" s="17"/>
      <c r="B135" s="17"/>
      <c r="C135" s="17"/>
      <c r="D135" s="17"/>
      <c r="E135" s="17"/>
      <c r="F135" s="92">
        <v>-4.1675471372851991E-2</v>
      </c>
      <c r="G135" s="1248" t="e">
        <f>G136</f>
        <v>#N/A</v>
      </c>
      <c r="H135" s="17"/>
      <c r="I135" s="17"/>
      <c r="J135" s="17"/>
      <c r="K135" s="17"/>
      <c r="L135" s="17"/>
      <c r="M135" s="17"/>
      <c r="N135" s="17"/>
      <c r="O135" s="17"/>
      <c r="P135" s="17"/>
      <c r="Q135" s="17"/>
      <c r="R135" s="17"/>
      <c r="S135" s="17"/>
      <c r="T135" s="17"/>
      <c r="U135" s="17"/>
      <c r="V135" s="129" t="str">
        <f t="shared" si="13"/>
        <v>57 years</v>
      </c>
      <c r="W135" s="17">
        <v>57</v>
      </c>
      <c r="X135" s="17" t="str">
        <f>IF(Language&lt;&gt;5,'Basic Values'!$B$9,IF(W135&lt;5,"lata","lat"))</f>
        <v>years</v>
      </c>
      <c r="Y135" s="17">
        <f t="shared" si="14"/>
        <v>0</v>
      </c>
      <c r="Z135" s="70">
        <f>IF(Y135&lt;&gt;0,(PerpetuityBaseValue*IF(PerpetuityGrowing=2,(1+Result!$G$28/100)^Specs!W135,1))/(1+DiscYear/100)^$W135,0)</f>
        <v>0</v>
      </c>
      <c r="AA135" s="17">
        <f t="shared" si="15"/>
        <v>0</v>
      </c>
      <c r="AB135" s="70">
        <f>IF(AA135&lt;&gt;0,(PerpetuityBaseValueEquity*IF(PerpetuityGrowing=2,1+Result!$G$108/100,1))/(1+DiscYearEquity/100)^$W135,0)</f>
        <v>0</v>
      </c>
      <c r="AC135" s="70">
        <f>IF(Y135&lt;&gt;0,(PerpetuityBaseValue*IF(PerpetuityGrowing=2,(1+Result!$G$28/100)^Specs!W135,1))/(1+Calculations!$D$1056)^$W135,0)</f>
        <v>0</v>
      </c>
      <c r="AD135" s="70">
        <f>IF(Y135&lt;&gt;0,(PerpetuityBaseValue*IF(PerpetuityGrowing=2,(1+Result!$G$28/100)^Specs!W135,1))/(1+Calculations!$D$1057)^$W135,0)</f>
        <v>0</v>
      </c>
      <c r="AE135" s="70">
        <f>IF(Y135&lt;&gt;0,(PerpetuityBaseValue*IF(PerpetuityGrowing=2,(1+Result!$G$28/100)^Specs!W135,1))/(1+Calculations!$D$1059)^$W135,0)</f>
        <v>0</v>
      </c>
      <c r="AF135" s="70">
        <f>IF(Y135&lt;&gt;0,(PerpetuityBaseValue*IF(PerpetuityGrowing=2,(1+Result!$G$28/100)^Specs!W135,1))/(1+Calculations!$D$1060)^$W135,0)</f>
        <v>0</v>
      </c>
    </row>
    <row r="136" spans="1:32" ht="12.75" customHeight="1" x14ac:dyDescent="0.35">
      <c r="A136" s="17"/>
      <c r="B136" s="17"/>
      <c r="C136" s="17"/>
      <c r="D136" s="17"/>
      <c r="E136" s="17"/>
      <c r="F136" s="92">
        <v>-2.9285530376777613E-2</v>
      </c>
      <c r="G136" s="93" t="e">
        <f>IF(FCFEinUse=1,(1+IRR(IrrCashFlowEquity,$F136))^12-1,NA())</f>
        <v>#N/A</v>
      </c>
      <c r="H136" s="17"/>
      <c r="I136" s="17"/>
      <c r="J136" s="17"/>
      <c r="K136" s="17"/>
      <c r="L136" s="17"/>
      <c r="M136" s="17"/>
      <c r="N136" s="17"/>
      <c r="O136" s="17"/>
      <c r="P136" s="17"/>
      <c r="Q136" s="17"/>
      <c r="R136" s="17"/>
      <c r="S136" s="17"/>
      <c r="T136" s="17"/>
      <c r="U136" s="17"/>
      <c r="V136" s="129" t="str">
        <f t="shared" si="13"/>
        <v>58 years</v>
      </c>
      <c r="W136" s="17">
        <v>58</v>
      </c>
      <c r="X136" s="17" t="str">
        <f>IF(Language&lt;&gt;5,'Basic Values'!$B$9,IF(W136&lt;5,"lata","lat"))</f>
        <v>years</v>
      </c>
      <c r="Y136" s="17">
        <f t="shared" si="14"/>
        <v>0</v>
      </c>
      <c r="Z136" s="70">
        <f>IF(Y136&lt;&gt;0,(PerpetuityBaseValue*IF(PerpetuityGrowing=2,(1+Result!$G$28/100)^Specs!W136,1))/(1+DiscYear/100)^$W136,0)</f>
        <v>0</v>
      </c>
      <c r="AA136" s="17">
        <f t="shared" si="15"/>
        <v>0</v>
      </c>
      <c r="AB136" s="70">
        <f>IF(AA136&lt;&gt;0,(PerpetuityBaseValueEquity*IF(PerpetuityGrowing=2,1+Result!$G$108/100,1))/(1+DiscYearEquity/100)^$W136,0)</f>
        <v>0</v>
      </c>
      <c r="AC136" s="70">
        <f>IF(Y136&lt;&gt;0,(PerpetuityBaseValue*IF(PerpetuityGrowing=2,(1+Result!$G$28/100)^Specs!W136,1))/(1+Calculations!$D$1056)^$W136,0)</f>
        <v>0</v>
      </c>
      <c r="AD136" s="70">
        <f>IF(Y136&lt;&gt;0,(PerpetuityBaseValue*IF(PerpetuityGrowing=2,(1+Result!$G$28/100)^Specs!W136,1))/(1+Calculations!$D$1057)^$W136,0)</f>
        <v>0</v>
      </c>
      <c r="AE136" s="70">
        <f>IF(Y136&lt;&gt;0,(PerpetuityBaseValue*IF(PerpetuityGrowing=2,(1+Result!$G$28/100)^Specs!W136,1))/(1+Calculations!$D$1059)^$W136,0)</f>
        <v>0</v>
      </c>
      <c r="AF136" s="70">
        <f>IF(Y136&lt;&gt;0,(PerpetuityBaseValue*IF(PerpetuityGrowing=2,(1+Result!$G$28/100)^Specs!W136,1))/(1+Calculations!$D$1060)^$W136,0)</f>
        <v>0</v>
      </c>
    </row>
    <row r="137" spans="1:32" ht="12.75" customHeight="1" x14ac:dyDescent="0.35">
      <c r="A137" s="17"/>
      <c r="B137" s="17"/>
      <c r="C137" s="17"/>
      <c r="D137" s="17"/>
      <c r="E137" s="17"/>
      <c r="F137" s="92">
        <v>-1.8423470126248342E-2</v>
      </c>
      <c r="G137" s="1248" t="e">
        <f>G138</f>
        <v>#N/A</v>
      </c>
      <c r="H137" s="17"/>
      <c r="I137" s="17"/>
      <c r="J137" s="17"/>
      <c r="K137" s="17"/>
      <c r="L137" s="17"/>
      <c r="M137" s="17"/>
      <c r="N137" s="17"/>
      <c r="O137" s="17"/>
      <c r="P137" s="17"/>
      <c r="Q137" s="17"/>
      <c r="R137" s="17"/>
      <c r="S137" s="17"/>
      <c r="T137" s="17"/>
      <c r="U137" s="17"/>
      <c r="V137" s="129" t="str">
        <f t="shared" si="13"/>
        <v>59 years</v>
      </c>
      <c r="W137" s="17">
        <v>59</v>
      </c>
      <c r="X137" s="17" t="str">
        <f>IF(Language&lt;&gt;5,'Basic Values'!$B$9,IF(W137&lt;5,"lata","lat"))</f>
        <v>years</v>
      </c>
      <c r="Y137" s="17">
        <f t="shared" si="14"/>
        <v>0</v>
      </c>
      <c r="Z137" s="70">
        <f>IF(Y137&lt;&gt;0,(PerpetuityBaseValue*IF(PerpetuityGrowing=2,(1+Result!$G$28/100)^Specs!W137,1))/(1+DiscYear/100)^$W137,0)</f>
        <v>0</v>
      </c>
      <c r="AA137" s="17">
        <f t="shared" si="15"/>
        <v>0</v>
      </c>
      <c r="AB137" s="70">
        <f>IF(AA137&lt;&gt;0,(PerpetuityBaseValueEquity*IF(PerpetuityGrowing=2,1+Result!$G$108/100,1))/(1+DiscYearEquity/100)^$W137,0)</f>
        <v>0</v>
      </c>
      <c r="AC137" s="70">
        <f>IF(Y137&lt;&gt;0,(PerpetuityBaseValue*IF(PerpetuityGrowing=2,(1+Result!$G$28/100)^Specs!W137,1))/(1+Calculations!$D$1056)^$W137,0)</f>
        <v>0</v>
      </c>
      <c r="AD137" s="70">
        <f>IF(Y137&lt;&gt;0,(PerpetuityBaseValue*IF(PerpetuityGrowing=2,(1+Result!$G$28/100)^Specs!W137,1))/(1+Calculations!$D$1057)^$W137,0)</f>
        <v>0</v>
      </c>
      <c r="AE137" s="70">
        <f>IF(Y137&lt;&gt;0,(PerpetuityBaseValue*IF(PerpetuityGrowing=2,(1+Result!$G$28/100)^Specs!W137,1))/(1+Calculations!$D$1059)^$W137,0)</f>
        <v>0</v>
      </c>
      <c r="AF137" s="70">
        <f>IF(Y137&lt;&gt;0,(PerpetuityBaseValue*IF(PerpetuityGrowing=2,(1+Result!$G$28/100)^Specs!W137,1))/(1+Calculations!$D$1060)^$W137,0)</f>
        <v>0</v>
      </c>
    </row>
    <row r="138" spans="1:32" ht="12.75" customHeight="1" x14ac:dyDescent="0.35">
      <c r="A138" s="17"/>
      <c r="B138" s="17"/>
      <c r="C138" s="17"/>
      <c r="D138" s="17"/>
      <c r="E138" s="17"/>
      <c r="F138" s="92">
        <v>-8.7416109546967213E-3</v>
      </c>
      <c r="G138" s="93" t="e">
        <f>IF(FCFEinUse=1,(1+IRR(IrrCashFlowEquity,$F138))^12-1,NA())</f>
        <v>#N/A</v>
      </c>
      <c r="H138" s="17"/>
      <c r="I138" s="17"/>
      <c r="J138" s="17"/>
      <c r="K138" s="17"/>
      <c r="L138" s="17"/>
      <c r="M138" s="17"/>
      <c r="N138" s="17"/>
      <c r="O138" s="17"/>
      <c r="P138" s="17"/>
      <c r="Q138" s="17"/>
      <c r="R138" s="17"/>
      <c r="S138" s="17"/>
      <c r="T138" s="17"/>
      <c r="U138" s="17"/>
      <c r="V138" s="129" t="str">
        <f t="shared" si="13"/>
        <v>60 years</v>
      </c>
      <c r="W138" s="17">
        <v>60</v>
      </c>
      <c r="X138" s="17" t="str">
        <f>IF(Language&lt;&gt;5,'Basic Values'!$B$9,IF(W138&lt;5,"lata","lat"))</f>
        <v>years</v>
      </c>
      <c r="Y138" s="17">
        <f t="shared" si="14"/>
        <v>0</v>
      </c>
      <c r="Z138" s="70">
        <f>IF(Y138&lt;&gt;0,(PerpetuityBaseValue*IF(PerpetuityGrowing=2,(1+Result!$G$28/100)^Specs!W138,1))/(1+DiscYear/100)^$W138,0)</f>
        <v>0</v>
      </c>
      <c r="AA138" s="17">
        <f t="shared" si="15"/>
        <v>0</v>
      </c>
      <c r="AB138" s="70">
        <f>IF(AA138&lt;&gt;0,(PerpetuityBaseValueEquity*IF(PerpetuityGrowing=2,1+Result!$G$108/100,1))/(1+DiscYearEquity/100)^$W138,0)</f>
        <v>0</v>
      </c>
      <c r="AC138" s="70">
        <f>IF(Y138&lt;&gt;0,(PerpetuityBaseValue*IF(PerpetuityGrowing=2,(1+Result!$G$28/100)^Specs!W138,1))/(1+Calculations!$D$1056)^$W138,0)</f>
        <v>0</v>
      </c>
      <c r="AD138" s="70">
        <f>IF(Y138&lt;&gt;0,(PerpetuityBaseValue*IF(PerpetuityGrowing=2,(1+Result!$G$28/100)^Specs!W138,1))/(1+Calculations!$D$1057)^$W138,0)</f>
        <v>0</v>
      </c>
      <c r="AE138" s="70">
        <f>IF(Y138&lt;&gt;0,(PerpetuityBaseValue*IF(PerpetuityGrowing=2,(1+Result!$G$28/100)^Specs!W138,1))/(1+Calculations!$D$1059)^$W138,0)</f>
        <v>0</v>
      </c>
      <c r="AF138" s="70">
        <f>IF(Y138&lt;&gt;0,(PerpetuityBaseValue*IF(PerpetuityGrowing=2,(1+Result!$G$28/100)^Specs!W138,1))/(1+Calculations!$D$1060)^$W138,0)</f>
        <v>0</v>
      </c>
    </row>
    <row r="139" spans="1:32" ht="12.75" customHeight="1" x14ac:dyDescent="0.35">
      <c r="A139" s="17"/>
      <c r="B139" s="17"/>
      <c r="C139" s="17"/>
      <c r="D139" s="17"/>
      <c r="E139" s="17"/>
      <c r="F139" s="92">
        <v>-4.2653187775606449E-3</v>
      </c>
      <c r="G139" s="93" t="e">
        <f>IF(FCFEinUse=1,(1+IRR(IrrCashFlowEquity,$F139))^12-1,NA())</f>
        <v>#N/A</v>
      </c>
      <c r="H139" s="17"/>
      <c r="I139" s="17"/>
      <c r="J139" s="17"/>
      <c r="K139" s="17"/>
      <c r="L139" s="17"/>
      <c r="M139" s="17"/>
      <c r="N139" s="17"/>
      <c r="O139" s="17"/>
      <c r="P139" s="17"/>
      <c r="Q139" s="17"/>
      <c r="R139" s="17"/>
      <c r="S139" s="17"/>
      <c r="T139" s="17"/>
      <c r="U139" s="17"/>
      <c r="V139" s="129" t="str">
        <f t="shared" si="13"/>
        <v>61 years</v>
      </c>
      <c r="W139" s="17">
        <v>61</v>
      </c>
      <c r="X139" s="17" t="str">
        <f>IF(Language&lt;&gt;5,'Basic Values'!$B$9,IF(W139&lt;5,"lata","lat"))</f>
        <v>years</v>
      </c>
      <c r="Y139" s="17">
        <f t="shared" si="14"/>
        <v>0</v>
      </c>
      <c r="Z139" s="70">
        <f>IF(Y139&lt;&gt;0,(PerpetuityBaseValue*IF(PerpetuityGrowing=2,(1+Result!$G$28/100)^Specs!W139,1))/(1+DiscYear/100)^$W139,0)</f>
        <v>0</v>
      </c>
      <c r="AA139" s="17">
        <f t="shared" si="15"/>
        <v>0</v>
      </c>
      <c r="AB139" s="70">
        <f>IF(AA139&lt;&gt;0,(PerpetuityBaseValueEquity*IF(PerpetuityGrowing=2,1+Result!$G$108/100,1))/(1+DiscYearEquity/100)^$W139,0)</f>
        <v>0</v>
      </c>
      <c r="AC139" s="70">
        <f>IF(Y139&lt;&gt;0,(PerpetuityBaseValue*IF(PerpetuityGrowing=2,(1+Result!$G$28/100)^Specs!W139,1))/(1+Calculations!$D$1056)^$W139,0)</f>
        <v>0</v>
      </c>
      <c r="AD139" s="70">
        <f>IF(Y139&lt;&gt;0,(PerpetuityBaseValue*IF(PerpetuityGrowing=2,(1+Result!$G$28/100)^Specs!W139,1))/(1+Calculations!$D$1057)^$W139,0)</f>
        <v>0</v>
      </c>
      <c r="AE139" s="70">
        <f>IF(Y139&lt;&gt;0,(PerpetuityBaseValue*IF(PerpetuityGrowing=2,(1+Result!$G$28/100)^Specs!W139,1))/(1+Calculations!$D$1059)^$W139,0)</f>
        <v>0</v>
      </c>
      <c r="AF139" s="70">
        <f>IF(Y139&lt;&gt;0,(PerpetuityBaseValue*IF(PerpetuityGrowing=2,(1+Result!$G$28/100)^Specs!W139,1))/(1+Calculations!$D$1060)^$W139,0)</f>
        <v>0</v>
      </c>
    </row>
    <row r="140" spans="1:32" ht="12.75" customHeight="1" x14ac:dyDescent="0.35">
      <c r="A140" s="17"/>
      <c r="B140" s="17"/>
      <c r="C140" s="17"/>
      <c r="D140" s="17"/>
      <c r="E140" s="17"/>
      <c r="F140" s="92">
        <v>1</v>
      </c>
      <c r="G140" s="93" t="e">
        <f>IF(FCFEinUse=1,(1+IRR(IrrCashFlowEquity,$F140))^12-1,NA())</f>
        <v>#N/A</v>
      </c>
      <c r="H140" s="17"/>
      <c r="I140" s="17"/>
      <c r="J140" s="17"/>
      <c r="K140" s="17"/>
      <c r="L140" s="17"/>
      <c r="M140" s="17"/>
      <c r="N140" s="17"/>
      <c r="O140" s="17"/>
      <c r="P140" s="17"/>
      <c r="Q140" s="17"/>
      <c r="R140" s="17"/>
      <c r="S140" s="17"/>
      <c r="T140" s="17"/>
      <c r="U140" s="17"/>
      <c r="V140" s="129" t="str">
        <f t="shared" si="13"/>
        <v>62 years</v>
      </c>
      <c r="W140" s="17">
        <v>62</v>
      </c>
      <c r="X140" s="17" t="str">
        <f>IF(Language&lt;&gt;5,'Basic Values'!$B$9,IF(W140&lt;5,"lata","lat"))</f>
        <v>years</v>
      </c>
      <c r="Y140" s="17">
        <f t="shared" si="14"/>
        <v>0</v>
      </c>
      <c r="Z140" s="70">
        <f>IF(Y140&lt;&gt;0,(PerpetuityBaseValue*IF(PerpetuityGrowing=2,(1+Result!$G$28/100)^Specs!W140,1))/(1+DiscYear/100)^$W140,0)</f>
        <v>0</v>
      </c>
      <c r="AA140" s="17">
        <f t="shared" si="15"/>
        <v>0</v>
      </c>
      <c r="AB140" s="70">
        <f>IF(AA140&lt;&gt;0,(PerpetuityBaseValueEquity*IF(PerpetuityGrowing=2,1+Result!$G$108/100,1))/(1+DiscYearEquity/100)^$W140,0)</f>
        <v>0</v>
      </c>
      <c r="AC140" s="70">
        <f>IF(Y140&lt;&gt;0,(PerpetuityBaseValue*IF(PerpetuityGrowing=2,(1+Result!$G$28/100)^Specs!W140,1))/(1+Calculations!$D$1056)^$W140,0)</f>
        <v>0</v>
      </c>
      <c r="AD140" s="70">
        <f>IF(Y140&lt;&gt;0,(PerpetuityBaseValue*IF(PerpetuityGrowing=2,(1+Result!$G$28/100)^Specs!W140,1))/(1+Calculations!$D$1057)^$W140,0)</f>
        <v>0</v>
      </c>
      <c r="AE140" s="70">
        <f>IF(Y140&lt;&gt;0,(PerpetuityBaseValue*IF(PerpetuityGrowing=2,(1+Result!$G$28/100)^Specs!W140,1))/(1+Calculations!$D$1059)^$W140,0)</f>
        <v>0</v>
      </c>
      <c r="AF140" s="70">
        <f>IF(Y140&lt;&gt;0,(PerpetuityBaseValue*IF(PerpetuityGrowing=2,(1+Result!$G$28/100)^Specs!W140,1))/(1+Calculations!$D$1060)^$W140,0)</f>
        <v>0</v>
      </c>
    </row>
    <row r="141" spans="1:32" ht="12.75" customHeight="1" x14ac:dyDescent="0.35">
      <c r="A141" s="17"/>
      <c r="B141" s="17"/>
      <c r="C141" s="17"/>
      <c r="D141" s="17"/>
      <c r="E141" s="17"/>
      <c r="F141" s="92">
        <v>9.5872691135244326E-2</v>
      </c>
      <c r="G141" s="93" t="e">
        <f>IF(FCFEinUse=1,(1+IRR(IrrCashFlowEquity,$F141))^12-1,NA())</f>
        <v>#N/A</v>
      </c>
      <c r="H141" s="17"/>
      <c r="I141" s="17"/>
      <c r="J141" s="17"/>
      <c r="K141" s="17"/>
      <c r="L141" s="17"/>
      <c r="M141" s="17"/>
      <c r="N141" s="17"/>
      <c r="O141" s="17"/>
      <c r="P141" s="17"/>
      <c r="Q141" s="17"/>
      <c r="R141" s="17"/>
      <c r="S141" s="17"/>
      <c r="T141" s="17"/>
      <c r="U141" s="17"/>
      <c r="V141" s="129" t="str">
        <f t="shared" si="13"/>
        <v>63 years</v>
      </c>
      <c r="W141" s="17">
        <v>63</v>
      </c>
      <c r="X141" s="17" t="str">
        <f>IF(Language&lt;&gt;5,'Basic Values'!$B$9,IF(W141&lt;5,"lata","lat"))</f>
        <v>years</v>
      </c>
      <c r="Y141" s="17">
        <f t="shared" si="14"/>
        <v>0</v>
      </c>
      <c r="Z141" s="70">
        <f>IF(Y141&lt;&gt;0,(PerpetuityBaseValue*IF(PerpetuityGrowing=2,(1+Result!$G$28/100)^Specs!W141,1))/(1+DiscYear/100)^$W141,0)</f>
        <v>0</v>
      </c>
      <c r="AA141" s="17">
        <f t="shared" si="15"/>
        <v>0</v>
      </c>
      <c r="AB141" s="70">
        <f>IF(AA141&lt;&gt;0,(PerpetuityBaseValueEquity*IF(PerpetuityGrowing=2,1+Result!$G$108/100,1))/(1+DiscYearEquity/100)^$W141,0)</f>
        <v>0</v>
      </c>
      <c r="AC141" s="70">
        <f>IF(Y141&lt;&gt;0,(PerpetuityBaseValue*IF(PerpetuityGrowing=2,(1+Result!$G$28/100)^Specs!W141,1))/(1+Calculations!$D$1056)^$W141,0)</f>
        <v>0</v>
      </c>
      <c r="AD141" s="70">
        <f>IF(Y141&lt;&gt;0,(PerpetuityBaseValue*IF(PerpetuityGrowing=2,(1+Result!$G$28/100)^Specs!W141,1))/(1+Calculations!$D$1057)^$W141,0)</f>
        <v>0</v>
      </c>
      <c r="AE141" s="70">
        <f>IF(Y141&lt;&gt;0,(PerpetuityBaseValue*IF(PerpetuityGrowing=2,(1+Result!$G$28/100)^Specs!W141,1))/(1+Calculations!$D$1059)^$W141,0)</f>
        <v>0</v>
      </c>
      <c r="AF141" s="70">
        <f>IF(Y141&lt;&gt;0,(PerpetuityBaseValue*IF(PerpetuityGrowing=2,(1+Result!$G$28/100)^Specs!W141,1))/(1+Calculations!$D$1060)^$W141,0)</f>
        <v>0</v>
      </c>
    </row>
    <row r="142" spans="1:32" ht="12.75" customHeight="1" x14ac:dyDescent="0.35">
      <c r="A142" s="17"/>
      <c r="B142" s="17"/>
      <c r="C142" s="17"/>
      <c r="D142" s="17"/>
      <c r="E142" s="17"/>
      <c r="F142" s="92">
        <v>5.946309435929531E-2</v>
      </c>
      <c r="G142" s="1248" t="e">
        <f>G143</f>
        <v>#N/A</v>
      </c>
      <c r="H142" s="17"/>
      <c r="I142" s="17"/>
      <c r="J142" s="17"/>
      <c r="K142" s="17"/>
      <c r="L142" s="17"/>
      <c r="M142" s="17"/>
      <c r="N142" s="17"/>
      <c r="O142" s="17"/>
      <c r="P142" s="17"/>
      <c r="Q142" s="17"/>
      <c r="R142" s="17"/>
      <c r="S142" s="17"/>
      <c r="T142" s="17"/>
      <c r="U142" s="17"/>
      <c r="V142" s="129" t="str">
        <f t="shared" si="13"/>
        <v>64 years</v>
      </c>
      <c r="W142" s="17">
        <v>64</v>
      </c>
      <c r="X142" s="17" t="str">
        <f>IF(Language&lt;&gt;5,'Basic Values'!$B$9,IF(W142&lt;5,"lata","lat"))</f>
        <v>years</v>
      </c>
      <c r="Y142" s="17">
        <f t="shared" si="14"/>
        <v>0</v>
      </c>
      <c r="Z142" s="70">
        <f>IF(Y142&lt;&gt;0,(PerpetuityBaseValue*IF(PerpetuityGrowing=2,(1+Result!$G$28/100)^Specs!W142,1))/(1+DiscYear/100)^$W142,0)</f>
        <v>0</v>
      </c>
      <c r="AA142" s="17">
        <f t="shared" si="15"/>
        <v>0</v>
      </c>
      <c r="AB142" s="70">
        <f>IF(AA142&lt;&gt;0,(PerpetuityBaseValueEquity*IF(PerpetuityGrowing=2,1+Result!$G$108/100,1))/(1+DiscYearEquity/100)^$W142,0)</f>
        <v>0</v>
      </c>
      <c r="AC142" s="70">
        <f>IF(Y142&lt;&gt;0,(PerpetuityBaseValue*IF(PerpetuityGrowing=2,(1+Result!$G$28/100)^Specs!W142,1))/(1+Calculations!$D$1056)^$W142,0)</f>
        <v>0</v>
      </c>
      <c r="AD142" s="70">
        <f>IF(Y142&lt;&gt;0,(PerpetuityBaseValue*IF(PerpetuityGrowing=2,(1+Result!$G$28/100)^Specs!W142,1))/(1+Calculations!$D$1057)^$W142,0)</f>
        <v>0</v>
      </c>
      <c r="AE142" s="70">
        <f>IF(Y142&lt;&gt;0,(PerpetuityBaseValue*IF(PerpetuityGrowing=2,(1+Result!$G$28/100)^Specs!W142,1))/(1+Calculations!$D$1059)^$W142,0)</f>
        <v>0</v>
      </c>
      <c r="AF142" s="70">
        <f>IF(Y142&lt;&gt;0,(PerpetuityBaseValue*IF(PerpetuityGrowing=2,(1+Result!$G$28/100)^Specs!W142,1))/(1+Calculations!$D$1060)^$W142,0)</f>
        <v>0</v>
      </c>
    </row>
    <row r="143" spans="1:32" ht="12.75" customHeight="1" x14ac:dyDescent="0.35">
      <c r="A143" s="17"/>
      <c r="B143" s="17"/>
      <c r="C143" s="17"/>
      <c r="D143" s="17"/>
      <c r="E143" s="17"/>
      <c r="F143" s="92">
        <v>4.521125295294337E-2</v>
      </c>
      <c r="G143" s="93" t="e">
        <f>IF(FCFEinUse=1,(1+IRR(IrrCashFlowEquity,$F143))^12-1,NA())</f>
        <v>#N/A</v>
      </c>
      <c r="H143" s="17"/>
      <c r="I143" s="17"/>
      <c r="J143" s="17"/>
      <c r="K143" s="17"/>
      <c r="L143" s="17"/>
      <c r="M143" s="17"/>
      <c r="N143" s="17"/>
      <c r="O143" s="17"/>
      <c r="P143" s="17"/>
      <c r="Q143" s="17"/>
      <c r="R143" s="17"/>
      <c r="S143" s="17"/>
      <c r="T143" s="17"/>
      <c r="U143" s="17"/>
      <c r="V143" s="129" t="str">
        <f t="shared" ref="V143:V174" si="17">W143&amp;" "&amp;X143</f>
        <v>65 years</v>
      </c>
      <c r="W143" s="17">
        <v>65</v>
      </c>
      <c r="X143" s="17" t="str">
        <f>IF(Language&lt;&gt;5,'Basic Values'!$B$9,IF(W143&lt;5,"lata","lat"))</f>
        <v>years</v>
      </c>
      <c r="Y143" s="17">
        <f t="shared" ref="Y143:Y178" si="18">IF($W143&lt;=PerpetuityLimitation-1,$W143,0)</f>
        <v>0</v>
      </c>
      <c r="Z143" s="70">
        <f>IF(Y143&lt;&gt;0,(PerpetuityBaseValue*IF(PerpetuityGrowing=2,(1+Result!$G$28/100)^Specs!W143,1))/(1+DiscYear/100)^$W143,0)</f>
        <v>0</v>
      </c>
      <c r="AA143" s="17">
        <f t="shared" ref="AA143:AA178" si="19">IF($W143&lt;=PerpetuityLimitationEquity-1,$W143,0)</f>
        <v>0</v>
      </c>
      <c r="AB143" s="70">
        <f>IF(AA143&lt;&gt;0,(PerpetuityBaseValueEquity*IF(PerpetuityGrowing=2,1+Result!$G$108/100,1))/(1+DiscYearEquity/100)^$W143,0)</f>
        <v>0</v>
      </c>
      <c r="AC143" s="70">
        <f>IF(Y143&lt;&gt;0,(PerpetuityBaseValue*IF(PerpetuityGrowing=2,(1+Result!$G$28/100)^Specs!W143,1))/(1+Calculations!$D$1056)^$W143,0)</f>
        <v>0</v>
      </c>
      <c r="AD143" s="70">
        <f>IF(Y143&lt;&gt;0,(PerpetuityBaseValue*IF(PerpetuityGrowing=2,(1+Result!$G$28/100)^Specs!W143,1))/(1+Calculations!$D$1057)^$W143,0)</f>
        <v>0</v>
      </c>
      <c r="AE143" s="70">
        <f>IF(Y143&lt;&gt;0,(PerpetuityBaseValue*IF(PerpetuityGrowing=2,(1+Result!$G$28/100)^Specs!W143,1))/(1+Calculations!$D$1059)^$W143,0)</f>
        <v>0</v>
      </c>
      <c r="AF143" s="70">
        <f>IF(Y143&lt;&gt;0,(PerpetuityBaseValue*IF(PerpetuityGrowing=2,(1+Result!$G$28/100)^Specs!W143,1))/(1+Calculations!$D$1060)^$W143,0)</f>
        <v>0</v>
      </c>
    </row>
    <row r="144" spans="1:32" ht="12.75" customHeight="1" x14ac:dyDescent="0.35">
      <c r="A144" s="17"/>
      <c r="B144" s="17"/>
      <c r="C144" s="17"/>
      <c r="D144" s="17"/>
      <c r="E144" s="17"/>
      <c r="F144" s="92">
        <v>2.8436155726361267E-2</v>
      </c>
      <c r="G144" s="1248" t="e">
        <f>G145</f>
        <v>#N/A</v>
      </c>
      <c r="H144" s="17"/>
      <c r="I144" s="17"/>
      <c r="J144" s="17"/>
      <c r="K144" s="17"/>
      <c r="L144" s="17"/>
      <c r="M144" s="17"/>
      <c r="N144" s="17"/>
      <c r="O144" s="17"/>
      <c r="P144" s="17"/>
      <c r="Q144" s="17"/>
      <c r="R144" s="17"/>
      <c r="S144" s="17"/>
      <c r="T144" s="17"/>
      <c r="U144" s="17"/>
      <c r="V144" s="129" t="str">
        <f t="shared" si="17"/>
        <v>66 years</v>
      </c>
      <c r="W144" s="17">
        <v>66</v>
      </c>
      <c r="X144" s="17" t="str">
        <f>IF(Language&lt;&gt;5,'Basic Values'!$B$9,IF(W144&lt;5,"lata","lat"))</f>
        <v>years</v>
      </c>
      <c r="Y144" s="17">
        <f t="shared" si="18"/>
        <v>0</v>
      </c>
      <c r="Z144" s="70">
        <f>IF(Y144&lt;&gt;0,(PerpetuityBaseValue*IF(PerpetuityGrowing=2,(1+Result!$G$28/100)^Specs!W144,1))/(1+DiscYear/100)^$W144,0)</f>
        <v>0</v>
      </c>
      <c r="AA144" s="17">
        <f t="shared" si="19"/>
        <v>0</v>
      </c>
      <c r="AB144" s="70">
        <f>IF(AA144&lt;&gt;0,(PerpetuityBaseValueEquity*IF(PerpetuityGrowing=2,1+Result!$G$108/100,1))/(1+DiscYearEquity/100)^$W144,0)</f>
        <v>0</v>
      </c>
      <c r="AC144" s="70">
        <f>IF(Y144&lt;&gt;0,(PerpetuityBaseValue*IF(PerpetuityGrowing=2,(1+Result!$G$28/100)^Specs!W144,1))/(1+Calculations!$D$1056)^$W144,0)</f>
        <v>0</v>
      </c>
      <c r="AD144" s="70">
        <f>IF(Y144&lt;&gt;0,(PerpetuityBaseValue*IF(PerpetuityGrowing=2,(1+Result!$G$28/100)^Specs!W144,1))/(1+Calculations!$D$1057)^$W144,0)</f>
        <v>0</v>
      </c>
      <c r="AE144" s="70">
        <f>IF(Y144&lt;&gt;0,(PerpetuityBaseValue*IF(PerpetuityGrowing=2,(1+Result!$G$28/100)^Specs!W144,1))/(1+Calculations!$D$1059)^$W144,0)</f>
        <v>0</v>
      </c>
      <c r="AF144" s="70">
        <f>IF(Y144&lt;&gt;0,(PerpetuityBaseValue*IF(PerpetuityGrowing=2,(1+Result!$G$28/100)^Specs!W144,1))/(1+Calculations!$D$1060)^$W144,0)</f>
        <v>0</v>
      </c>
    </row>
    <row r="145" spans="1:32" ht="12.75" customHeight="1" x14ac:dyDescent="0.35">
      <c r="A145" s="17"/>
      <c r="B145" s="17"/>
      <c r="C145" s="17"/>
      <c r="D145" s="17"/>
      <c r="E145" s="17"/>
      <c r="F145" s="92">
        <v>1.5309470499731193E-2</v>
      </c>
      <c r="G145" s="93" t="e">
        <f>IF(FCFEinUse=1,(1+IRR(IrrCashFlowEquity,$F145))^12-1,NA())</f>
        <v>#N/A</v>
      </c>
      <c r="H145" s="17"/>
      <c r="I145" s="17"/>
      <c r="J145" s="17"/>
      <c r="K145" s="17"/>
      <c r="L145" s="17"/>
      <c r="M145" s="17"/>
      <c r="N145" s="17"/>
      <c r="O145" s="17"/>
      <c r="P145" s="17"/>
      <c r="Q145" s="17"/>
      <c r="R145" s="17"/>
      <c r="S145" s="17"/>
      <c r="T145" s="17"/>
      <c r="U145" s="17"/>
      <c r="V145" s="129" t="str">
        <f t="shared" si="17"/>
        <v>67 years</v>
      </c>
      <c r="W145" s="17">
        <v>67</v>
      </c>
      <c r="X145" s="17" t="str">
        <f>IF(Language&lt;&gt;5,'Basic Values'!$B$9,IF(W145&lt;5,"lata","lat"))</f>
        <v>years</v>
      </c>
      <c r="Y145" s="17">
        <f t="shared" si="18"/>
        <v>0</v>
      </c>
      <c r="Z145" s="70">
        <f>IF(Y145&lt;&gt;0,(PerpetuityBaseValue*IF(PerpetuityGrowing=2,(1+Result!$G$28/100)^Specs!W145,1))/(1+DiscYear/100)^$W145,0)</f>
        <v>0</v>
      </c>
      <c r="AA145" s="17">
        <f t="shared" si="19"/>
        <v>0</v>
      </c>
      <c r="AB145" s="70">
        <f>IF(AA145&lt;&gt;0,(PerpetuityBaseValueEquity*IF(PerpetuityGrowing=2,1+Result!$G$108/100,1))/(1+DiscYearEquity/100)^$W145,0)</f>
        <v>0</v>
      </c>
      <c r="AC145" s="70">
        <f>IF(Y145&lt;&gt;0,(PerpetuityBaseValue*IF(PerpetuityGrowing=2,(1+Result!$G$28/100)^Specs!W145,1))/(1+Calculations!$D$1056)^$W145,0)</f>
        <v>0</v>
      </c>
      <c r="AD145" s="70">
        <f>IF(Y145&lt;&gt;0,(PerpetuityBaseValue*IF(PerpetuityGrowing=2,(1+Result!$G$28/100)^Specs!W145,1))/(1+Calculations!$D$1057)^$W145,0)</f>
        <v>0</v>
      </c>
      <c r="AE145" s="70">
        <f>IF(Y145&lt;&gt;0,(PerpetuityBaseValue*IF(PerpetuityGrowing=2,(1+Result!$G$28/100)^Specs!W145,1))/(1+Calculations!$D$1059)^$W145,0)</f>
        <v>0</v>
      </c>
      <c r="AF145" s="70">
        <f>IF(Y145&lt;&gt;0,(PerpetuityBaseValue*IF(PerpetuityGrowing=2,(1+Result!$G$28/100)^Specs!W145,1))/(1+Calculations!$D$1060)^$W145,0)</f>
        <v>0</v>
      </c>
    </row>
    <row r="146" spans="1:32" ht="12.75" customHeight="1" x14ac:dyDescent="0.35">
      <c r="A146" s="17"/>
      <c r="B146" s="17"/>
      <c r="C146" s="17"/>
      <c r="D146" s="17"/>
      <c r="E146" s="17"/>
      <c r="F146" s="92">
        <v>7.9741404289037643E-3</v>
      </c>
      <c r="G146" s="1248" t="e">
        <f>G147</f>
        <v>#N/A</v>
      </c>
      <c r="H146" s="17"/>
      <c r="I146" s="17"/>
      <c r="J146" s="17"/>
      <c r="K146" s="17"/>
      <c r="L146" s="17"/>
      <c r="M146" s="17"/>
      <c r="N146" s="17"/>
      <c r="O146" s="17"/>
      <c r="P146" s="17"/>
      <c r="Q146" s="17"/>
      <c r="R146" s="17"/>
      <c r="S146" s="17"/>
      <c r="T146" s="17"/>
      <c r="U146" s="17"/>
      <c r="V146" s="129" t="str">
        <f t="shared" si="17"/>
        <v>68 years</v>
      </c>
      <c r="W146" s="17">
        <v>68</v>
      </c>
      <c r="X146" s="17" t="str">
        <f>IF(Language&lt;&gt;5,'Basic Values'!$B$9,IF(W146&lt;5,"lata","lat"))</f>
        <v>years</v>
      </c>
      <c r="Y146" s="17">
        <f t="shared" si="18"/>
        <v>0</v>
      </c>
      <c r="Z146" s="70">
        <f>IF(Y146&lt;&gt;0,(PerpetuityBaseValue*IF(PerpetuityGrowing=2,(1+Result!$G$28/100)^Specs!W146,1))/(1+DiscYear/100)^$W146,0)</f>
        <v>0</v>
      </c>
      <c r="AA146" s="17">
        <f t="shared" si="19"/>
        <v>0</v>
      </c>
      <c r="AB146" s="70">
        <f>IF(AA146&lt;&gt;0,(PerpetuityBaseValueEquity*IF(PerpetuityGrowing=2,1+Result!$G$108/100,1))/(1+DiscYearEquity/100)^$W146,0)</f>
        <v>0</v>
      </c>
      <c r="AC146" s="70">
        <f>IF(Y146&lt;&gt;0,(PerpetuityBaseValue*IF(PerpetuityGrowing=2,(1+Result!$G$28/100)^Specs!W146,1))/(1+Calculations!$D$1056)^$W146,0)</f>
        <v>0</v>
      </c>
      <c r="AD146" s="70">
        <f>IF(Y146&lt;&gt;0,(PerpetuityBaseValue*IF(PerpetuityGrowing=2,(1+Result!$G$28/100)^Specs!W146,1))/(1+Calculations!$D$1057)^$W146,0)</f>
        <v>0</v>
      </c>
      <c r="AE146" s="70">
        <f>IF(Y146&lt;&gt;0,(PerpetuityBaseValue*IF(PerpetuityGrowing=2,(1+Result!$G$28/100)^Specs!W146,1))/(1+Calculations!$D$1059)^$W146,0)</f>
        <v>0</v>
      </c>
      <c r="AF146" s="70">
        <f>IF(Y146&lt;&gt;0,(PerpetuityBaseValue*IF(PerpetuityGrowing=2,(1+Result!$G$28/100)^Specs!W146,1))/(1+Calculations!$D$1060)^$W146,0)</f>
        <v>0</v>
      </c>
    </row>
    <row r="147" spans="1:32" ht="12.75" customHeight="1" x14ac:dyDescent="0.35">
      <c r="A147" s="17"/>
      <c r="B147" s="17"/>
      <c r="C147" s="17"/>
      <c r="D147" s="17"/>
      <c r="E147" s="17"/>
      <c r="F147" s="92">
        <v>4.0741237836483535E-3</v>
      </c>
      <c r="G147" s="93" t="e">
        <f>IF(FCFEinUse=1,(1+IRR(IrrCashFlowEquity,$F147))^12-1,NA())</f>
        <v>#N/A</v>
      </c>
      <c r="H147" s="17"/>
      <c r="I147" s="17"/>
      <c r="J147" s="17"/>
      <c r="K147" s="17"/>
      <c r="L147" s="17"/>
      <c r="M147" s="17"/>
      <c r="N147" s="17"/>
      <c r="O147" s="17"/>
      <c r="P147" s="17"/>
      <c r="Q147" s="17"/>
      <c r="R147" s="17"/>
      <c r="S147" s="17"/>
      <c r="T147" s="17"/>
      <c r="U147" s="17"/>
      <c r="V147" s="129" t="str">
        <f t="shared" si="17"/>
        <v>69 years</v>
      </c>
      <c r="W147" s="17">
        <v>69</v>
      </c>
      <c r="X147" s="17" t="str">
        <f>IF(Language&lt;&gt;5,'Basic Values'!$B$9,IF(W147&lt;5,"lata","lat"))</f>
        <v>years</v>
      </c>
      <c r="Y147" s="17">
        <f t="shared" si="18"/>
        <v>0</v>
      </c>
      <c r="Z147" s="70">
        <f>IF(Y147&lt;&gt;0,(PerpetuityBaseValue*IF(PerpetuityGrowing=2,(1+Result!$G$28/100)^Specs!W147,1))/(1+DiscYear/100)^$W147,0)</f>
        <v>0</v>
      </c>
      <c r="AA147" s="17">
        <f t="shared" si="19"/>
        <v>0</v>
      </c>
      <c r="AB147" s="70">
        <f>IF(AA147&lt;&gt;0,(PerpetuityBaseValueEquity*IF(PerpetuityGrowing=2,1+Result!$G$108/100,1))/(1+DiscYearEquity/100)^$W147,0)</f>
        <v>0</v>
      </c>
      <c r="AC147" s="70">
        <f>IF(Y147&lt;&gt;0,(PerpetuityBaseValue*IF(PerpetuityGrowing=2,(1+Result!$G$28/100)^Specs!W147,1))/(1+Calculations!$D$1056)^$W147,0)</f>
        <v>0</v>
      </c>
      <c r="AD147" s="70">
        <f>IF(Y147&lt;&gt;0,(PerpetuityBaseValue*IF(PerpetuityGrowing=2,(1+Result!$G$28/100)^Specs!W147,1))/(1+Calculations!$D$1057)^$W147,0)</f>
        <v>0</v>
      </c>
      <c r="AE147" s="70">
        <f>IF(Y147&lt;&gt;0,(PerpetuityBaseValue*IF(PerpetuityGrowing=2,(1+Result!$G$28/100)^Specs!W147,1))/(1+Calculations!$D$1059)^$W147,0)</f>
        <v>0</v>
      </c>
      <c r="AF147" s="70">
        <f>IF(Y147&lt;&gt;0,(PerpetuityBaseValue*IF(PerpetuityGrowing=2,(1+Result!$G$28/100)^Specs!W147,1))/(1+Calculations!$D$1060)^$W147,0)</f>
        <v>0</v>
      </c>
    </row>
    <row r="148" spans="1:32" ht="12.75" customHeight="1" x14ac:dyDescent="0.35">
      <c r="A148" s="17"/>
      <c r="B148" s="17"/>
      <c r="C148" s="17"/>
      <c r="D148" s="17"/>
      <c r="E148" s="17"/>
      <c r="F148" s="94">
        <v>2.0598362698427408E-3</v>
      </c>
      <c r="G148" s="95" t="e">
        <f>IF(FCFEinUse=1,(1+IRR(IrrCashFlowEquity,$F148))^12-1,NA())</f>
        <v>#N/A</v>
      </c>
      <c r="H148" s="17"/>
      <c r="I148" s="17"/>
      <c r="J148" s="17"/>
      <c r="K148" s="17"/>
      <c r="L148" s="17"/>
      <c r="M148" s="17"/>
      <c r="N148" s="17"/>
      <c r="O148" s="17"/>
      <c r="P148" s="17"/>
      <c r="Q148" s="17"/>
      <c r="R148" s="17"/>
      <c r="S148" s="17"/>
      <c r="T148" s="17"/>
      <c r="U148" s="17"/>
      <c r="V148" s="129" t="str">
        <f t="shared" si="17"/>
        <v>70 years</v>
      </c>
      <c r="W148" s="17">
        <v>70</v>
      </c>
      <c r="X148" s="17" t="str">
        <f>IF(Language&lt;&gt;5,'Basic Values'!$B$9,IF(W148&lt;5,"lata","lat"))</f>
        <v>years</v>
      </c>
      <c r="Y148" s="17">
        <f t="shared" si="18"/>
        <v>0</v>
      </c>
      <c r="Z148" s="70">
        <f>IF(Y148&lt;&gt;0,(PerpetuityBaseValue*IF(PerpetuityGrowing=2,(1+Result!$G$28/100)^Specs!W148,1))/(1+DiscYear/100)^$W148,0)</f>
        <v>0</v>
      </c>
      <c r="AA148" s="17">
        <f t="shared" si="19"/>
        <v>0</v>
      </c>
      <c r="AB148" s="70">
        <f>IF(AA148&lt;&gt;0,(PerpetuityBaseValueEquity*IF(PerpetuityGrowing=2,1+Result!$G$108/100,1))/(1+DiscYearEquity/100)^$W148,0)</f>
        <v>0</v>
      </c>
      <c r="AC148" s="70">
        <f>IF(Y148&lt;&gt;0,(PerpetuityBaseValue*IF(PerpetuityGrowing=2,(1+Result!$G$28/100)^Specs!W148,1))/(1+Calculations!$D$1056)^$W148,0)</f>
        <v>0</v>
      </c>
      <c r="AD148" s="70">
        <f>IF(Y148&lt;&gt;0,(PerpetuityBaseValue*IF(PerpetuityGrowing=2,(1+Result!$G$28/100)^Specs!W148,1))/(1+Calculations!$D$1057)^$W148,0)</f>
        <v>0</v>
      </c>
      <c r="AE148" s="70">
        <f>IF(Y148&lt;&gt;0,(PerpetuityBaseValue*IF(PerpetuityGrowing=2,(1+Result!$G$28/100)^Specs!W148,1))/(1+Calculations!$D$1059)^$W148,0)</f>
        <v>0</v>
      </c>
      <c r="AF148" s="70">
        <f>IF(Y148&lt;&gt;0,(PerpetuityBaseValue*IF(PerpetuityGrowing=2,(1+Result!$G$28/100)^Specs!W148,1))/(1+Calculations!$D$1060)^$W148,0)</f>
        <v>0</v>
      </c>
    </row>
    <row r="149" spans="1:32" ht="12.75" customHeight="1" x14ac:dyDescent="0.35">
      <c r="A149" s="17"/>
      <c r="B149" s="17"/>
      <c r="C149" s="17"/>
      <c r="D149" s="17"/>
      <c r="E149" s="17"/>
      <c r="F149" s="17"/>
      <c r="G149" s="21" t="e">
        <f>MATCH(1,G150:G171,0)</f>
        <v>#N/A</v>
      </c>
      <c r="H149" s="17"/>
      <c r="I149" s="17"/>
      <c r="J149" s="17"/>
      <c r="K149" s="17"/>
      <c r="L149" s="17"/>
      <c r="M149" s="17"/>
      <c r="N149" s="17"/>
      <c r="O149" s="17"/>
      <c r="P149" s="17"/>
      <c r="Q149" s="17"/>
      <c r="R149" s="17"/>
      <c r="S149" s="17"/>
      <c r="T149" s="17"/>
      <c r="U149" s="17"/>
      <c r="V149" s="129" t="str">
        <f t="shared" si="17"/>
        <v>71 years</v>
      </c>
      <c r="W149" s="17">
        <v>71</v>
      </c>
      <c r="X149" s="17" t="str">
        <f>IF(Language&lt;&gt;5,'Basic Values'!$B$9,IF(W149&lt;5,"lata","lat"))</f>
        <v>years</v>
      </c>
      <c r="Y149" s="17">
        <f t="shared" si="18"/>
        <v>0</v>
      </c>
      <c r="Z149" s="70">
        <f>IF(Y149&lt;&gt;0,(PerpetuityBaseValue*IF(PerpetuityGrowing=2,(1+Result!$G$28/100)^Specs!W149,1))/(1+DiscYear/100)^$W149,0)</f>
        <v>0</v>
      </c>
      <c r="AA149" s="17">
        <f t="shared" si="19"/>
        <v>0</v>
      </c>
      <c r="AB149" s="70">
        <f>IF(AA149&lt;&gt;0,(PerpetuityBaseValueEquity*IF(PerpetuityGrowing=2,1+Result!$G$108/100,1))/(1+DiscYearEquity/100)^$W149,0)</f>
        <v>0</v>
      </c>
      <c r="AC149" s="70">
        <f>IF(Y149&lt;&gt;0,(PerpetuityBaseValue*IF(PerpetuityGrowing=2,(1+Result!$G$28/100)^Specs!W149,1))/(1+Calculations!$D$1056)^$W149,0)</f>
        <v>0</v>
      </c>
      <c r="AD149" s="70">
        <f>IF(Y149&lt;&gt;0,(PerpetuityBaseValue*IF(PerpetuityGrowing=2,(1+Result!$G$28/100)^Specs!W149,1))/(1+Calculations!$D$1057)^$W149,0)</f>
        <v>0</v>
      </c>
      <c r="AE149" s="70">
        <f>IF(Y149&lt;&gt;0,(PerpetuityBaseValue*IF(PerpetuityGrowing=2,(1+Result!$G$28/100)^Specs!W149,1))/(1+Calculations!$D$1059)^$W149,0)</f>
        <v>0</v>
      </c>
      <c r="AF149" s="70">
        <f>IF(Y149&lt;&gt;0,(PerpetuityBaseValue*IF(PerpetuityGrowing=2,(1+Result!$G$28/100)^Specs!W149,1))/(1+Calculations!$D$1060)^$W149,0)</f>
        <v>0</v>
      </c>
    </row>
    <row r="150" spans="1:32" ht="12.75" customHeight="1" x14ac:dyDescent="0.35">
      <c r="A150" s="17"/>
      <c r="B150" s="17"/>
      <c r="C150" s="17"/>
      <c r="D150" s="17"/>
      <c r="E150" s="17"/>
      <c r="F150" s="29" t="str">
        <f t="shared" ref="F150:F171" ca="1" si="20">IF(G150=1,G127,$G$126)</f>
        <v>-</v>
      </c>
      <c r="G150" s="91">
        <f t="shared" ref="G150:G171" si="21">IF(ISERROR(G127),0,1)</f>
        <v>0</v>
      </c>
      <c r="H150" s="17"/>
      <c r="I150" s="17"/>
      <c r="J150" s="17"/>
      <c r="K150" s="17"/>
      <c r="L150" s="17"/>
      <c r="M150" s="17"/>
      <c r="N150" s="17"/>
      <c r="O150" s="17"/>
      <c r="P150" s="17"/>
      <c r="Q150" s="17"/>
      <c r="R150" s="17"/>
      <c r="S150" s="17"/>
      <c r="T150" s="17"/>
      <c r="U150" s="17"/>
      <c r="V150" s="129" t="str">
        <f t="shared" si="17"/>
        <v>72 years</v>
      </c>
      <c r="W150" s="17">
        <v>72</v>
      </c>
      <c r="X150" s="17" t="str">
        <f>IF(Language&lt;&gt;5,'Basic Values'!$B$9,IF(W150&lt;5,"lata","lat"))</f>
        <v>years</v>
      </c>
      <c r="Y150" s="17">
        <f t="shared" si="18"/>
        <v>0</v>
      </c>
      <c r="Z150" s="70">
        <f>IF(Y150&lt;&gt;0,(PerpetuityBaseValue*IF(PerpetuityGrowing=2,(1+Result!$G$28/100)^Specs!W150,1))/(1+DiscYear/100)^$W150,0)</f>
        <v>0</v>
      </c>
      <c r="AA150" s="17">
        <f t="shared" si="19"/>
        <v>0</v>
      </c>
      <c r="AB150" s="70">
        <f>IF(AA150&lt;&gt;0,(PerpetuityBaseValueEquity*IF(PerpetuityGrowing=2,1+Result!$G$108/100,1))/(1+DiscYearEquity/100)^$W150,0)</f>
        <v>0</v>
      </c>
      <c r="AC150" s="70">
        <f>IF(Y150&lt;&gt;0,(PerpetuityBaseValue*IF(PerpetuityGrowing=2,(1+Result!$G$28/100)^Specs!W150,1))/(1+Calculations!$D$1056)^$W150,0)</f>
        <v>0</v>
      </c>
      <c r="AD150" s="70">
        <f>IF(Y150&lt;&gt;0,(PerpetuityBaseValue*IF(PerpetuityGrowing=2,(1+Result!$G$28/100)^Specs!W150,1))/(1+Calculations!$D$1057)^$W150,0)</f>
        <v>0</v>
      </c>
      <c r="AE150" s="70">
        <f>IF(Y150&lt;&gt;0,(PerpetuityBaseValue*IF(PerpetuityGrowing=2,(1+Result!$G$28/100)^Specs!W150,1))/(1+Calculations!$D$1059)^$W150,0)</f>
        <v>0</v>
      </c>
      <c r="AF150" s="70">
        <f>IF(Y150&lt;&gt;0,(PerpetuityBaseValue*IF(PerpetuityGrowing=2,(1+Result!$G$28/100)^Specs!W150,1))/(1+Calculations!$D$1060)^$W150,0)</f>
        <v>0</v>
      </c>
    </row>
    <row r="151" spans="1:32" ht="12.75" customHeight="1" x14ac:dyDescent="0.35">
      <c r="A151" s="17"/>
      <c r="B151" s="17"/>
      <c r="C151" s="17"/>
      <c r="D151" s="17"/>
      <c r="E151" s="17"/>
      <c r="F151" s="36" t="str">
        <f t="shared" ca="1" si="20"/>
        <v>-</v>
      </c>
      <c r="G151" s="93">
        <f t="shared" si="21"/>
        <v>0</v>
      </c>
      <c r="H151" s="17"/>
      <c r="I151" s="17"/>
      <c r="J151" s="17"/>
      <c r="K151" s="17"/>
      <c r="L151" s="17"/>
      <c r="M151" s="17"/>
      <c r="N151" s="17"/>
      <c r="O151" s="17"/>
      <c r="P151" s="17"/>
      <c r="Q151" s="17"/>
      <c r="R151" s="17"/>
      <c r="S151" s="17"/>
      <c r="T151" s="17"/>
      <c r="U151" s="17"/>
      <c r="V151" s="129" t="str">
        <f t="shared" si="17"/>
        <v>73 years</v>
      </c>
      <c r="W151" s="17">
        <v>73</v>
      </c>
      <c r="X151" s="17" t="str">
        <f>IF(Language&lt;&gt;5,'Basic Values'!$B$9,IF(W151&lt;5,"lata","lat"))</f>
        <v>years</v>
      </c>
      <c r="Y151" s="17">
        <f t="shared" si="18"/>
        <v>0</v>
      </c>
      <c r="Z151" s="70">
        <f>IF(Y151&lt;&gt;0,(PerpetuityBaseValue*IF(PerpetuityGrowing=2,(1+Result!$G$28/100)^Specs!W151,1))/(1+DiscYear/100)^$W151,0)</f>
        <v>0</v>
      </c>
      <c r="AA151" s="17">
        <f t="shared" si="19"/>
        <v>0</v>
      </c>
      <c r="AB151" s="70">
        <f>IF(AA151&lt;&gt;0,(PerpetuityBaseValueEquity*IF(PerpetuityGrowing=2,1+Result!$G$108/100,1))/(1+DiscYearEquity/100)^$W151,0)</f>
        <v>0</v>
      </c>
      <c r="AC151" s="70">
        <f>IF(Y151&lt;&gt;0,(PerpetuityBaseValue*IF(PerpetuityGrowing=2,(1+Result!$G$28/100)^Specs!W151,1))/(1+Calculations!$D$1056)^$W151,0)</f>
        <v>0</v>
      </c>
      <c r="AD151" s="70">
        <f>IF(Y151&lt;&gt;0,(PerpetuityBaseValue*IF(PerpetuityGrowing=2,(1+Result!$G$28/100)^Specs!W151,1))/(1+Calculations!$D$1057)^$W151,0)</f>
        <v>0</v>
      </c>
      <c r="AE151" s="70">
        <f>IF(Y151&lt;&gt;0,(PerpetuityBaseValue*IF(PerpetuityGrowing=2,(1+Result!$G$28/100)^Specs!W151,1))/(1+Calculations!$D$1059)^$W151,0)</f>
        <v>0</v>
      </c>
      <c r="AF151" s="70">
        <f>IF(Y151&lt;&gt;0,(PerpetuityBaseValue*IF(PerpetuityGrowing=2,(1+Result!$G$28/100)^Specs!W151,1))/(1+Calculations!$D$1060)^$W151,0)</f>
        <v>0</v>
      </c>
    </row>
    <row r="152" spans="1:32" ht="12.75" customHeight="1" x14ac:dyDescent="0.35">
      <c r="A152" s="17"/>
      <c r="B152" s="17"/>
      <c r="C152" s="17"/>
      <c r="D152" s="17"/>
      <c r="E152" s="17"/>
      <c r="F152" s="36" t="str">
        <f t="shared" ca="1" si="20"/>
        <v>-</v>
      </c>
      <c r="G152" s="93">
        <f t="shared" si="21"/>
        <v>0</v>
      </c>
      <c r="H152" s="17"/>
      <c r="I152" s="17"/>
      <c r="J152" s="17"/>
      <c r="K152" s="17"/>
      <c r="L152" s="17"/>
      <c r="M152" s="17"/>
      <c r="N152" s="17"/>
      <c r="O152" s="17"/>
      <c r="P152" s="17"/>
      <c r="Q152" s="17"/>
      <c r="R152" s="17"/>
      <c r="S152" s="17"/>
      <c r="T152" s="17"/>
      <c r="U152" s="17"/>
      <c r="V152" s="129" t="str">
        <f t="shared" si="17"/>
        <v>74 years</v>
      </c>
      <c r="W152" s="17">
        <v>74</v>
      </c>
      <c r="X152" s="17" t="str">
        <f>IF(Language&lt;&gt;5,'Basic Values'!$B$9,IF(W152&lt;5,"lata","lat"))</f>
        <v>years</v>
      </c>
      <c r="Y152" s="17">
        <f t="shared" si="18"/>
        <v>0</v>
      </c>
      <c r="Z152" s="70">
        <f>IF(Y152&lt;&gt;0,(PerpetuityBaseValue*IF(PerpetuityGrowing=2,(1+Result!$G$28/100)^Specs!W152,1))/(1+DiscYear/100)^$W152,0)</f>
        <v>0</v>
      </c>
      <c r="AA152" s="17">
        <f t="shared" si="19"/>
        <v>0</v>
      </c>
      <c r="AB152" s="70">
        <f>IF(AA152&lt;&gt;0,(PerpetuityBaseValueEquity*IF(PerpetuityGrowing=2,1+Result!$G$108/100,1))/(1+DiscYearEquity/100)^$W152,0)</f>
        <v>0</v>
      </c>
      <c r="AC152" s="70">
        <f>IF(Y152&lt;&gt;0,(PerpetuityBaseValue*IF(PerpetuityGrowing=2,(1+Result!$G$28/100)^Specs!W152,1))/(1+Calculations!$D$1056)^$W152,0)</f>
        <v>0</v>
      </c>
      <c r="AD152" s="70">
        <f>IF(Y152&lt;&gt;0,(PerpetuityBaseValue*IF(PerpetuityGrowing=2,(1+Result!$G$28/100)^Specs!W152,1))/(1+Calculations!$D$1057)^$W152,0)</f>
        <v>0</v>
      </c>
      <c r="AE152" s="70">
        <f>IF(Y152&lt;&gt;0,(PerpetuityBaseValue*IF(PerpetuityGrowing=2,(1+Result!$G$28/100)^Specs!W152,1))/(1+Calculations!$D$1059)^$W152,0)</f>
        <v>0</v>
      </c>
      <c r="AF152" s="70">
        <f>IF(Y152&lt;&gt;0,(PerpetuityBaseValue*IF(PerpetuityGrowing=2,(1+Result!$G$28/100)^Specs!W152,1))/(1+Calculations!$D$1060)^$W152,0)</f>
        <v>0</v>
      </c>
    </row>
    <row r="153" spans="1:32" ht="12.75" customHeight="1" x14ac:dyDescent="0.35">
      <c r="A153" s="17"/>
      <c r="B153" s="17"/>
      <c r="C153" s="17"/>
      <c r="D153" s="17"/>
      <c r="E153" s="17"/>
      <c r="F153" s="36" t="str">
        <f t="shared" ca="1" si="20"/>
        <v>-</v>
      </c>
      <c r="G153" s="93">
        <f t="shared" si="21"/>
        <v>0</v>
      </c>
      <c r="H153" s="17"/>
      <c r="I153" s="17"/>
      <c r="J153" s="17"/>
      <c r="K153" s="17"/>
      <c r="L153" s="17"/>
      <c r="M153" s="17"/>
      <c r="N153" s="17"/>
      <c r="O153" s="17"/>
      <c r="P153" s="17"/>
      <c r="Q153" s="17"/>
      <c r="R153" s="17"/>
      <c r="S153" s="17"/>
      <c r="T153" s="17"/>
      <c r="U153" s="17"/>
      <c r="V153" s="129" t="str">
        <f t="shared" si="17"/>
        <v>75 years</v>
      </c>
      <c r="W153" s="17">
        <v>75</v>
      </c>
      <c r="X153" s="17" t="str">
        <f>IF(Language&lt;&gt;5,'Basic Values'!$B$9,IF(W153&lt;5,"lata","lat"))</f>
        <v>years</v>
      </c>
      <c r="Y153" s="17">
        <f t="shared" si="18"/>
        <v>0</v>
      </c>
      <c r="Z153" s="70">
        <f>IF(Y153&lt;&gt;0,(PerpetuityBaseValue*IF(PerpetuityGrowing=2,(1+Result!$G$28/100)^Specs!W153,1))/(1+DiscYear/100)^$W153,0)</f>
        <v>0</v>
      </c>
      <c r="AA153" s="17">
        <f t="shared" si="19"/>
        <v>0</v>
      </c>
      <c r="AB153" s="70">
        <f>IF(AA153&lt;&gt;0,(PerpetuityBaseValueEquity*IF(PerpetuityGrowing=2,1+Result!$G$108/100,1))/(1+DiscYearEquity/100)^$W153,0)</f>
        <v>0</v>
      </c>
      <c r="AC153" s="70">
        <f>IF(Y153&lt;&gt;0,(PerpetuityBaseValue*IF(PerpetuityGrowing=2,(1+Result!$G$28/100)^Specs!W153,1))/(1+Calculations!$D$1056)^$W153,0)</f>
        <v>0</v>
      </c>
      <c r="AD153" s="70">
        <f>IF(Y153&lt;&gt;0,(PerpetuityBaseValue*IF(PerpetuityGrowing=2,(1+Result!$G$28/100)^Specs!W153,1))/(1+Calculations!$D$1057)^$W153,0)</f>
        <v>0</v>
      </c>
      <c r="AE153" s="70">
        <f>IF(Y153&lt;&gt;0,(PerpetuityBaseValue*IF(PerpetuityGrowing=2,(1+Result!$G$28/100)^Specs!W153,1))/(1+Calculations!$D$1059)^$W153,0)</f>
        <v>0</v>
      </c>
      <c r="AF153" s="70">
        <f>IF(Y153&lt;&gt;0,(PerpetuityBaseValue*IF(PerpetuityGrowing=2,(1+Result!$G$28/100)^Specs!W153,1))/(1+Calculations!$D$1060)^$W153,0)</f>
        <v>0</v>
      </c>
    </row>
    <row r="154" spans="1:32" ht="12.75" customHeight="1" x14ac:dyDescent="0.35">
      <c r="A154" s="17"/>
      <c r="B154" s="17"/>
      <c r="C154" s="17"/>
      <c r="D154" s="17"/>
      <c r="E154" s="17"/>
      <c r="F154" s="36" t="str">
        <f t="shared" ca="1" si="20"/>
        <v>-</v>
      </c>
      <c r="G154" s="93">
        <f t="shared" si="21"/>
        <v>0</v>
      </c>
      <c r="H154" s="17"/>
      <c r="I154" s="17"/>
      <c r="J154" s="17"/>
      <c r="K154" s="17"/>
      <c r="L154" s="17"/>
      <c r="M154" s="17"/>
      <c r="N154" s="17"/>
      <c r="O154" s="17"/>
      <c r="P154" s="17"/>
      <c r="Q154" s="17"/>
      <c r="R154" s="17"/>
      <c r="S154" s="17"/>
      <c r="T154" s="17"/>
      <c r="U154" s="17"/>
      <c r="V154" s="129" t="str">
        <f t="shared" si="17"/>
        <v>76 years</v>
      </c>
      <c r="W154" s="17">
        <v>76</v>
      </c>
      <c r="X154" s="17" t="str">
        <f>IF(Language&lt;&gt;5,'Basic Values'!$B$9,IF(W154&lt;5,"lata","lat"))</f>
        <v>years</v>
      </c>
      <c r="Y154" s="17">
        <f t="shared" si="18"/>
        <v>0</v>
      </c>
      <c r="Z154" s="70">
        <f>IF(Y154&lt;&gt;0,(PerpetuityBaseValue*IF(PerpetuityGrowing=2,(1+Result!$G$28/100)^Specs!W154,1))/(1+DiscYear/100)^$W154,0)</f>
        <v>0</v>
      </c>
      <c r="AA154" s="17">
        <f t="shared" si="19"/>
        <v>0</v>
      </c>
      <c r="AB154" s="70">
        <f>IF(AA154&lt;&gt;0,(PerpetuityBaseValueEquity*IF(PerpetuityGrowing=2,1+Result!$G$108/100,1))/(1+DiscYearEquity/100)^$W154,0)</f>
        <v>0</v>
      </c>
      <c r="AC154" s="70">
        <f>IF(Y154&lt;&gt;0,(PerpetuityBaseValue*IF(PerpetuityGrowing=2,(1+Result!$G$28/100)^Specs!W154,1))/(1+Calculations!$D$1056)^$W154,0)</f>
        <v>0</v>
      </c>
      <c r="AD154" s="70">
        <f>IF(Y154&lt;&gt;0,(PerpetuityBaseValue*IF(PerpetuityGrowing=2,(1+Result!$G$28/100)^Specs!W154,1))/(1+Calculations!$D$1057)^$W154,0)</f>
        <v>0</v>
      </c>
      <c r="AE154" s="70">
        <f>IF(Y154&lt;&gt;0,(PerpetuityBaseValue*IF(PerpetuityGrowing=2,(1+Result!$G$28/100)^Specs!W154,1))/(1+Calculations!$D$1059)^$W154,0)</f>
        <v>0</v>
      </c>
      <c r="AF154" s="70">
        <f>IF(Y154&lt;&gt;0,(PerpetuityBaseValue*IF(PerpetuityGrowing=2,(1+Result!$G$28/100)^Specs!W154,1))/(1+Calculations!$D$1060)^$W154,0)</f>
        <v>0</v>
      </c>
    </row>
    <row r="155" spans="1:32" ht="12.75" customHeight="1" x14ac:dyDescent="0.35">
      <c r="A155" s="17"/>
      <c r="B155" s="17"/>
      <c r="C155" s="17"/>
      <c r="D155" s="17"/>
      <c r="E155" s="17"/>
      <c r="F155" s="36" t="str">
        <f t="shared" ca="1" si="20"/>
        <v>-</v>
      </c>
      <c r="G155" s="93">
        <f t="shared" si="21"/>
        <v>0</v>
      </c>
      <c r="H155" s="17"/>
      <c r="I155" s="17"/>
      <c r="J155" s="17"/>
      <c r="K155" s="17"/>
      <c r="L155" s="17"/>
      <c r="M155" s="17"/>
      <c r="N155" s="17"/>
      <c r="O155" s="17"/>
      <c r="P155" s="17"/>
      <c r="Q155" s="17"/>
      <c r="R155" s="17"/>
      <c r="S155" s="17"/>
      <c r="T155" s="17"/>
      <c r="U155" s="17"/>
      <c r="V155" s="129" t="str">
        <f t="shared" si="17"/>
        <v>77 years</v>
      </c>
      <c r="W155" s="17">
        <v>77</v>
      </c>
      <c r="X155" s="17" t="str">
        <f>IF(Language&lt;&gt;5,'Basic Values'!$B$9,IF(W155&lt;5,"lata","lat"))</f>
        <v>years</v>
      </c>
      <c r="Y155" s="17">
        <f t="shared" si="18"/>
        <v>0</v>
      </c>
      <c r="Z155" s="70">
        <f>IF(Y155&lt;&gt;0,(PerpetuityBaseValue*IF(PerpetuityGrowing=2,(1+Result!$G$28/100)^Specs!W155,1))/(1+DiscYear/100)^$W155,0)</f>
        <v>0</v>
      </c>
      <c r="AA155" s="17">
        <f t="shared" si="19"/>
        <v>0</v>
      </c>
      <c r="AB155" s="70">
        <f>IF(AA155&lt;&gt;0,(PerpetuityBaseValueEquity*IF(PerpetuityGrowing=2,1+Result!$G$108/100,1))/(1+DiscYearEquity/100)^$W155,0)</f>
        <v>0</v>
      </c>
      <c r="AC155" s="70">
        <f>IF(Y155&lt;&gt;0,(PerpetuityBaseValue*IF(PerpetuityGrowing=2,(1+Result!$G$28/100)^Specs!W155,1))/(1+Calculations!$D$1056)^$W155,0)</f>
        <v>0</v>
      </c>
      <c r="AD155" s="70">
        <f>IF(Y155&lt;&gt;0,(PerpetuityBaseValue*IF(PerpetuityGrowing=2,(1+Result!$G$28/100)^Specs!W155,1))/(1+Calculations!$D$1057)^$W155,0)</f>
        <v>0</v>
      </c>
      <c r="AE155" s="70">
        <f>IF(Y155&lt;&gt;0,(PerpetuityBaseValue*IF(PerpetuityGrowing=2,(1+Result!$G$28/100)^Specs!W155,1))/(1+Calculations!$D$1059)^$W155,0)</f>
        <v>0</v>
      </c>
      <c r="AF155" s="70">
        <f>IF(Y155&lt;&gt;0,(PerpetuityBaseValue*IF(PerpetuityGrowing=2,(1+Result!$G$28/100)^Specs!W155,1))/(1+Calculations!$D$1060)^$W155,0)</f>
        <v>0</v>
      </c>
    </row>
    <row r="156" spans="1:32" ht="12.75" customHeight="1" x14ac:dyDescent="0.35">
      <c r="A156" s="17"/>
      <c r="B156" s="17"/>
      <c r="C156" s="17"/>
      <c r="D156" s="17"/>
      <c r="E156" s="17"/>
      <c r="F156" s="29" t="str">
        <f t="shared" ca="1" si="20"/>
        <v>-</v>
      </c>
      <c r="G156" s="1249">
        <v>0</v>
      </c>
      <c r="H156" s="17"/>
      <c r="I156" s="17"/>
      <c r="J156" s="17"/>
      <c r="K156" s="17"/>
      <c r="L156" s="17"/>
      <c r="M156" s="17"/>
      <c r="N156" s="17"/>
      <c r="O156" s="17"/>
      <c r="P156" s="17"/>
      <c r="Q156" s="17"/>
      <c r="R156" s="17"/>
      <c r="S156" s="17"/>
      <c r="T156" s="17"/>
      <c r="U156" s="17"/>
      <c r="V156" s="129" t="str">
        <f t="shared" si="17"/>
        <v>78 years</v>
      </c>
      <c r="W156" s="17">
        <v>78</v>
      </c>
      <c r="X156" s="17" t="str">
        <f>IF(Language&lt;&gt;5,'Basic Values'!$B$9,IF(W156&lt;5,"lata","lat"))</f>
        <v>years</v>
      </c>
      <c r="Y156" s="17">
        <f t="shared" si="18"/>
        <v>0</v>
      </c>
      <c r="Z156" s="70">
        <f>IF(Y156&lt;&gt;0,(PerpetuityBaseValue*IF(PerpetuityGrowing=2,(1+Result!$G$28/100)^Specs!W156,1))/(1+DiscYear/100)^$W156,0)</f>
        <v>0</v>
      </c>
      <c r="AA156" s="17">
        <f t="shared" si="19"/>
        <v>0</v>
      </c>
      <c r="AB156" s="70">
        <f>IF(AA156&lt;&gt;0,(PerpetuityBaseValueEquity*IF(PerpetuityGrowing=2,1+Result!$G$108/100,1))/(1+DiscYearEquity/100)^$W156,0)</f>
        <v>0</v>
      </c>
      <c r="AC156" s="70">
        <f>IF(Y156&lt;&gt;0,(PerpetuityBaseValue*IF(PerpetuityGrowing=2,(1+Result!$G$28/100)^Specs!W156,1))/(1+Calculations!$D$1056)^$W156,0)</f>
        <v>0</v>
      </c>
      <c r="AD156" s="70">
        <f>IF(Y156&lt;&gt;0,(PerpetuityBaseValue*IF(PerpetuityGrowing=2,(1+Result!$G$28/100)^Specs!W156,1))/(1+Calculations!$D$1057)^$W156,0)</f>
        <v>0</v>
      </c>
      <c r="AE156" s="70">
        <f>IF(Y156&lt;&gt;0,(PerpetuityBaseValue*IF(PerpetuityGrowing=2,(1+Result!$G$28/100)^Specs!W156,1))/(1+Calculations!$D$1059)^$W156,0)</f>
        <v>0</v>
      </c>
      <c r="AF156" s="70">
        <f>IF(Y156&lt;&gt;0,(PerpetuityBaseValue*IF(PerpetuityGrowing=2,(1+Result!$G$28/100)^Specs!W156,1))/(1+Calculations!$D$1060)^$W156,0)</f>
        <v>0</v>
      </c>
    </row>
    <row r="157" spans="1:32" ht="12.75" customHeight="1" x14ac:dyDescent="0.35">
      <c r="A157" s="17"/>
      <c r="B157" s="17"/>
      <c r="C157" s="17"/>
      <c r="D157" s="17"/>
      <c r="E157" s="17"/>
      <c r="F157" s="36" t="str">
        <f t="shared" ca="1" si="20"/>
        <v>-</v>
      </c>
      <c r="G157" s="93">
        <f t="shared" si="21"/>
        <v>0</v>
      </c>
      <c r="H157" s="17"/>
      <c r="I157" s="17"/>
      <c r="J157" s="17"/>
      <c r="K157" s="17"/>
      <c r="L157" s="17"/>
      <c r="M157" s="17"/>
      <c r="N157" s="17"/>
      <c r="O157" s="17"/>
      <c r="P157" s="17"/>
      <c r="Q157" s="17"/>
      <c r="R157" s="17"/>
      <c r="S157" s="17"/>
      <c r="T157" s="17"/>
      <c r="U157" s="17"/>
      <c r="V157" s="129" t="str">
        <f t="shared" si="17"/>
        <v>79 years</v>
      </c>
      <c r="W157" s="17">
        <v>79</v>
      </c>
      <c r="X157" s="17" t="str">
        <f>IF(Language&lt;&gt;5,'Basic Values'!$B$9,IF(W157&lt;5,"lata","lat"))</f>
        <v>years</v>
      </c>
      <c r="Y157" s="17">
        <f t="shared" si="18"/>
        <v>0</v>
      </c>
      <c r="Z157" s="70">
        <f>IF(Y157&lt;&gt;0,(PerpetuityBaseValue*IF(PerpetuityGrowing=2,(1+Result!$G$28/100)^Specs!W157,1))/(1+DiscYear/100)^$W157,0)</f>
        <v>0</v>
      </c>
      <c r="AA157" s="17">
        <f t="shared" si="19"/>
        <v>0</v>
      </c>
      <c r="AB157" s="70">
        <f>IF(AA157&lt;&gt;0,(PerpetuityBaseValueEquity*IF(PerpetuityGrowing=2,1+Result!$G$108/100,1))/(1+DiscYearEquity/100)^$W157,0)</f>
        <v>0</v>
      </c>
      <c r="AC157" s="70">
        <f>IF(Y157&lt;&gt;0,(PerpetuityBaseValue*IF(PerpetuityGrowing=2,(1+Result!$G$28/100)^Specs!W157,1))/(1+Calculations!$D$1056)^$W157,0)</f>
        <v>0</v>
      </c>
      <c r="AD157" s="70">
        <f>IF(Y157&lt;&gt;0,(PerpetuityBaseValue*IF(PerpetuityGrowing=2,(1+Result!$G$28/100)^Specs!W157,1))/(1+Calculations!$D$1057)^$W157,0)</f>
        <v>0</v>
      </c>
      <c r="AE157" s="70">
        <f>IF(Y157&lt;&gt;0,(PerpetuityBaseValue*IF(PerpetuityGrowing=2,(1+Result!$G$28/100)^Specs!W157,1))/(1+Calculations!$D$1059)^$W157,0)</f>
        <v>0</v>
      </c>
      <c r="AF157" s="70">
        <f>IF(Y157&lt;&gt;0,(PerpetuityBaseValue*IF(PerpetuityGrowing=2,(1+Result!$G$28/100)^Specs!W157,1))/(1+Calculations!$D$1060)^$W157,0)</f>
        <v>0</v>
      </c>
    </row>
    <row r="158" spans="1:32" ht="12.75" customHeight="1" x14ac:dyDescent="0.35">
      <c r="A158" s="17"/>
      <c r="B158" s="17"/>
      <c r="C158" s="17"/>
      <c r="D158" s="17"/>
      <c r="E158" s="17"/>
      <c r="F158" s="36" t="str">
        <f t="shared" ca="1" si="20"/>
        <v>-</v>
      </c>
      <c r="G158" s="1248">
        <v>0</v>
      </c>
      <c r="H158" s="17"/>
      <c r="I158" s="17"/>
      <c r="J158" s="17"/>
      <c r="K158" s="17"/>
      <c r="L158" s="17"/>
      <c r="M158" s="17"/>
      <c r="N158" s="17"/>
      <c r="O158" s="17"/>
      <c r="P158" s="17"/>
      <c r="Q158" s="17"/>
      <c r="R158" s="17"/>
      <c r="S158" s="17"/>
      <c r="T158" s="17"/>
      <c r="U158" s="17"/>
      <c r="V158" s="129" t="str">
        <f t="shared" si="17"/>
        <v>80 years</v>
      </c>
      <c r="W158" s="17">
        <v>80</v>
      </c>
      <c r="X158" s="17" t="str">
        <f>IF(Language&lt;&gt;5,'Basic Values'!$B$9,IF(W158&lt;5,"lata","lat"))</f>
        <v>years</v>
      </c>
      <c r="Y158" s="17">
        <f t="shared" si="18"/>
        <v>0</v>
      </c>
      <c r="Z158" s="70">
        <f>IF(Y158&lt;&gt;0,(PerpetuityBaseValue*IF(PerpetuityGrowing=2,(1+Result!$G$28/100)^Specs!W158,1))/(1+DiscYear/100)^$W158,0)</f>
        <v>0</v>
      </c>
      <c r="AA158" s="17">
        <f t="shared" si="19"/>
        <v>0</v>
      </c>
      <c r="AB158" s="70">
        <f>IF(AA158&lt;&gt;0,(PerpetuityBaseValueEquity*IF(PerpetuityGrowing=2,1+Result!$G$108/100,1))/(1+DiscYearEquity/100)^$W158,0)</f>
        <v>0</v>
      </c>
      <c r="AC158" s="70">
        <f>IF(Y158&lt;&gt;0,(PerpetuityBaseValue*IF(PerpetuityGrowing=2,(1+Result!$G$28/100)^Specs!W158,1))/(1+Calculations!$D$1056)^$W158,0)</f>
        <v>0</v>
      </c>
      <c r="AD158" s="70">
        <f>IF(Y158&lt;&gt;0,(PerpetuityBaseValue*IF(PerpetuityGrowing=2,(1+Result!$G$28/100)^Specs!W158,1))/(1+Calculations!$D$1057)^$W158,0)</f>
        <v>0</v>
      </c>
      <c r="AE158" s="70">
        <f>IF(Y158&lt;&gt;0,(PerpetuityBaseValue*IF(PerpetuityGrowing=2,(1+Result!$G$28/100)^Specs!W158,1))/(1+Calculations!$D$1059)^$W158,0)</f>
        <v>0</v>
      </c>
      <c r="AF158" s="70">
        <f>IF(Y158&lt;&gt;0,(PerpetuityBaseValue*IF(PerpetuityGrowing=2,(1+Result!$G$28/100)^Specs!W158,1))/(1+Calculations!$D$1060)^$W158,0)</f>
        <v>0</v>
      </c>
    </row>
    <row r="159" spans="1:32" ht="12.75" customHeight="1" x14ac:dyDescent="0.35">
      <c r="A159" s="17"/>
      <c r="B159" s="17"/>
      <c r="C159" s="17"/>
      <c r="D159" s="17"/>
      <c r="E159" s="17"/>
      <c r="F159" s="36" t="str">
        <f t="shared" ca="1" si="20"/>
        <v>-</v>
      </c>
      <c r="G159" s="93">
        <f t="shared" si="21"/>
        <v>0</v>
      </c>
      <c r="H159" s="17"/>
      <c r="I159" s="17"/>
      <c r="J159" s="17"/>
      <c r="K159" s="17"/>
      <c r="L159" s="17"/>
      <c r="M159" s="17"/>
      <c r="N159" s="17"/>
      <c r="O159" s="17"/>
      <c r="P159" s="17"/>
      <c r="Q159" s="17"/>
      <c r="R159" s="17"/>
      <c r="S159" s="17"/>
      <c r="T159" s="17"/>
      <c r="U159" s="17"/>
      <c r="V159" s="129" t="str">
        <f t="shared" si="17"/>
        <v>81 years</v>
      </c>
      <c r="W159" s="17">
        <v>81</v>
      </c>
      <c r="X159" s="17" t="str">
        <f>IF(Language&lt;&gt;5,'Basic Values'!$B$9,IF(W159&lt;5,"lata","lat"))</f>
        <v>years</v>
      </c>
      <c r="Y159" s="17">
        <f t="shared" si="18"/>
        <v>0</v>
      </c>
      <c r="Z159" s="70">
        <f>IF(Y159&lt;&gt;0,(PerpetuityBaseValue*IF(PerpetuityGrowing=2,(1+Result!$G$28/100)^Specs!W159,1))/(1+DiscYear/100)^$W159,0)</f>
        <v>0</v>
      </c>
      <c r="AA159" s="17">
        <f t="shared" si="19"/>
        <v>0</v>
      </c>
      <c r="AB159" s="70">
        <f>IF(AA159&lt;&gt;0,(PerpetuityBaseValueEquity*IF(PerpetuityGrowing=2,1+Result!$G$108/100,1))/(1+DiscYearEquity/100)^$W159,0)</f>
        <v>0</v>
      </c>
      <c r="AC159" s="70">
        <f>IF(Y159&lt;&gt;0,(PerpetuityBaseValue*IF(PerpetuityGrowing=2,(1+Result!$G$28/100)^Specs!W159,1))/(1+Calculations!$D$1056)^$W159,0)</f>
        <v>0</v>
      </c>
      <c r="AD159" s="70">
        <f>IF(Y159&lt;&gt;0,(PerpetuityBaseValue*IF(PerpetuityGrowing=2,(1+Result!$G$28/100)^Specs!W159,1))/(1+Calculations!$D$1057)^$W159,0)</f>
        <v>0</v>
      </c>
      <c r="AE159" s="70">
        <f>IF(Y159&lt;&gt;0,(PerpetuityBaseValue*IF(PerpetuityGrowing=2,(1+Result!$G$28/100)^Specs!W159,1))/(1+Calculations!$D$1059)^$W159,0)</f>
        <v>0</v>
      </c>
      <c r="AF159" s="70">
        <f>IF(Y159&lt;&gt;0,(PerpetuityBaseValue*IF(PerpetuityGrowing=2,(1+Result!$G$28/100)^Specs!W159,1))/(1+Calculations!$D$1060)^$W159,0)</f>
        <v>0</v>
      </c>
    </row>
    <row r="160" spans="1:32" ht="12.75" customHeight="1" x14ac:dyDescent="0.35">
      <c r="A160" s="17"/>
      <c r="B160" s="17"/>
      <c r="C160" s="17"/>
      <c r="D160" s="17"/>
      <c r="E160" s="17"/>
      <c r="F160" s="36" t="str">
        <f t="shared" ca="1" si="20"/>
        <v>-</v>
      </c>
      <c r="G160" s="1248">
        <v>0</v>
      </c>
      <c r="H160" s="17"/>
      <c r="I160" s="17"/>
      <c r="J160" s="17"/>
      <c r="K160" s="17"/>
      <c r="L160" s="17"/>
      <c r="M160" s="17"/>
      <c r="N160" s="17"/>
      <c r="O160" s="17"/>
      <c r="P160" s="17"/>
      <c r="Q160" s="17"/>
      <c r="R160" s="17"/>
      <c r="S160" s="17"/>
      <c r="T160" s="17"/>
      <c r="U160" s="17"/>
      <c r="V160" s="129" t="str">
        <f t="shared" si="17"/>
        <v>82 years</v>
      </c>
      <c r="W160" s="17">
        <v>82</v>
      </c>
      <c r="X160" s="17" t="str">
        <f>IF(Language&lt;&gt;5,'Basic Values'!$B$9,IF(W160&lt;5,"lata","lat"))</f>
        <v>years</v>
      </c>
      <c r="Y160" s="17">
        <f t="shared" si="18"/>
        <v>0</v>
      </c>
      <c r="Z160" s="70">
        <f>IF(Y160&lt;&gt;0,(PerpetuityBaseValue*IF(PerpetuityGrowing=2,(1+Result!$G$28/100)^Specs!W160,1))/(1+DiscYear/100)^$W160,0)</f>
        <v>0</v>
      </c>
      <c r="AA160" s="17">
        <f t="shared" si="19"/>
        <v>0</v>
      </c>
      <c r="AB160" s="70">
        <f>IF(AA160&lt;&gt;0,(PerpetuityBaseValueEquity*IF(PerpetuityGrowing=2,1+Result!$G$108/100,1))/(1+DiscYearEquity/100)^$W160,0)</f>
        <v>0</v>
      </c>
      <c r="AC160" s="70">
        <f>IF(Y160&lt;&gt;0,(PerpetuityBaseValue*IF(PerpetuityGrowing=2,(1+Result!$G$28/100)^Specs!W160,1))/(1+Calculations!$D$1056)^$W160,0)</f>
        <v>0</v>
      </c>
      <c r="AD160" s="70">
        <f>IF(Y160&lt;&gt;0,(PerpetuityBaseValue*IF(PerpetuityGrowing=2,(1+Result!$G$28/100)^Specs!W160,1))/(1+Calculations!$D$1057)^$W160,0)</f>
        <v>0</v>
      </c>
      <c r="AE160" s="70">
        <f>IF(Y160&lt;&gt;0,(PerpetuityBaseValue*IF(PerpetuityGrowing=2,(1+Result!$G$28/100)^Specs!W160,1))/(1+Calculations!$D$1059)^$W160,0)</f>
        <v>0</v>
      </c>
      <c r="AF160" s="70">
        <f>IF(Y160&lt;&gt;0,(PerpetuityBaseValue*IF(PerpetuityGrowing=2,(1+Result!$G$28/100)^Specs!W160,1))/(1+Calculations!$D$1060)^$W160,0)</f>
        <v>0</v>
      </c>
    </row>
    <row r="161" spans="1:32" ht="12.75" customHeight="1" x14ac:dyDescent="0.35">
      <c r="A161" s="17"/>
      <c r="B161" s="17"/>
      <c r="C161" s="17"/>
      <c r="D161" s="17"/>
      <c r="E161" s="17"/>
      <c r="F161" s="36" t="str">
        <f t="shared" ca="1" si="20"/>
        <v>-</v>
      </c>
      <c r="G161" s="93">
        <f t="shared" si="21"/>
        <v>0</v>
      </c>
      <c r="H161" s="17"/>
      <c r="I161" s="17"/>
      <c r="J161" s="17"/>
      <c r="K161" s="17"/>
      <c r="L161" s="17"/>
      <c r="M161" s="17"/>
      <c r="N161" s="17"/>
      <c r="O161" s="17"/>
      <c r="P161" s="17"/>
      <c r="Q161" s="17"/>
      <c r="R161" s="17"/>
      <c r="S161" s="17"/>
      <c r="T161" s="17"/>
      <c r="U161" s="17"/>
      <c r="V161" s="129" t="str">
        <f t="shared" si="17"/>
        <v>83 years</v>
      </c>
      <c r="W161" s="17">
        <v>83</v>
      </c>
      <c r="X161" s="17" t="str">
        <f>IF(Language&lt;&gt;5,'Basic Values'!$B$9,IF(W161&lt;5,"lata","lat"))</f>
        <v>years</v>
      </c>
      <c r="Y161" s="17">
        <f t="shared" si="18"/>
        <v>0</v>
      </c>
      <c r="Z161" s="70">
        <f>IF(Y161&lt;&gt;0,(PerpetuityBaseValue*IF(PerpetuityGrowing=2,(1+Result!$G$28/100)^Specs!W161,1))/(1+DiscYear/100)^$W161,0)</f>
        <v>0</v>
      </c>
      <c r="AA161" s="17">
        <f t="shared" si="19"/>
        <v>0</v>
      </c>
      <c r="AB161" s="70">
        <f>IF(AA161&lt;&gt;0,(PerpetuityBaseValueEquity*IF(PerpetuityGrowing=2,1+Result!$G$108/100,1))/(1+DiscYearEquity/100)^$W161,0)</f>
        <v>0</v>
      </c>
      <c r="AC161" s="70">
        <f>IF(Y161&lt;&gt;0,(PerpetuityBaseValue*IF(PerpetuityGrowing=2,(1+Result!$G$28/100)^Specs!W161,1))/(1+Calculations!$D$1056)^$W161,0)</f>
        <v>0</v>
      </c>
      <c r="AD161" s="70">
        <f>IF(Y161&lt;&gt;0,(PerpetuityBaseValue*IF(PerpetuityGrowing=2,(1+Result!$G$28/100)^Specs!W161,1))/(1+Calculations!$D$1057)^$W161,0)</f>
        <v>0</v>
      </c>
      <c r="AE161" s="70">
        <f>IF(Y161&lt;&gt;0,(PerpetuityBaseValue*IF(PerpetuityGrowing=2,(1+Result!$G$28/100)^Specs!W161,1))/(1+Calculations!$D$1059)^$W161,0)</f>
        <v>0</v>
      </c>
      <c r="AF161" s="70">
        <f>IF(Y161&lt;&gt;0,(PerpetuityBaseValue*IF(PerpetuityGrowing=2,(1+Result!$G$28/100)^Specs!W161,1))/(1+Calculations!$D$1060)^$W161,0)</f>
        <v>0</v>
      </c>
    </row>
    <row r="162" spans="1:32" ht="12.75" customHeight="1" x14ac:dyDescent="0.35">
      <c r="A162" s="17"/>
      <c r="B162" s="17"/>
      <c r="C162" s="17"/>
      <c r="D162" s="17"/>
      <c r="E162" s="17"/>
      <c r="F162" s="36" t="str">
        <f t="shared" ca="1" si="20"/>
        <v>-</v>
      </c>
      <c r="G162" s="93">
        <f t="shared" si="21"/>
        <v>0</v>
      </c>
      <c r="H162" s="17"/>
      <c r="I162" s="17"/>
      <c r="J162" s="17"/>
      <c r="K162" s="17"/>
      <c r="L162" s="17"/>
      <c r="M162" s="17"/>
      <c r="N162" s="17"/>
      <c r="O162" s="17"/>
      <c r="P162" s="17"/>
      <c r="Q162" s="17"/>
      <c r="R162" s="17"/>
      <c r="S162" s="17"/>
      <c r="T162" s="17"/>
      <c r="U162" s="17"/>
      <c r="V162" s="129" t="str">
        <f t="shared" si="17"/>
        <v>84 years</v>
      </c>
      <c r="W162" s="17">
        <v>84</v>
      </c>
      <c r="X162" s="17" t="str">
        <f>IF(Language&lt;&gt;5,'Basic Values'!$B$9,IF(W162&lt;5,"lata","lat"))</f>
        <v>years</v>
      </c>
      <c r="Y162" s="17">
        <f t="shared" si="18"/>
        <v>0</v>
      </c>
      <c r="Z162" s="70">
        <f>IF(Y162&lt;&gt;0,(PerpetuityBaseValue*IF(PerpetuityGrowing=2,(1+Result!$G$28/100)^Specs!W162,1))/(1+DiscYear/100)^$W162,0)</f>
        <v>0</v>
      </c>
      <c r="AA162" s="17">
        <f t="shared" si="19"/>
        <v>0</v>
      </c>
      <c r="AB162" s="70">
        <f>IF(AA162&lt;&gt;0,(PerpetuityBaseValueEquity*IF(PerpetuityGrowing=2,1+Result!$G$108/100,1))/(1+DiscYearEquity/100)^$W162,0)</f>
        <v>0</v>
      </c>
      <c r="AC162" s="70">
        <f>IF(Y162&lt;&gt;0,(PerpetuityBaseValue*IF(PerpetuityGrowing=2,(1+Result!$G$28/100)^Specs!W162,1))/(1+Calculations!$D$1056)^$W162,0)</f>
        <v>0</v>
      </c>
      <c r="AD162" s="70">
        <f>IF(Y162&lt;&gt;0,(PerpetuityBaseValue*IF(PerpetuityGrowing=2,(1+Result!$G$28/100)^Specs!W162,1))/(1+Calculations!$D$1057)^$W162,0)</f>
        <v>0</v>
      </c>
      <c r="AE162" s="70">
        <f>IF(Y162&lt;&gt;0,(PerpetuityBaseValue*IF(PerpetuityGrowing=2,(1+Result!$G$28/100)^Specs!W162,1))/(1+Calculations!$D$1059)^$W162,0)</f>
        <v>0</v>
      </c>
      <c r="AF162" s="70">
        <f>IF(Y162&lt;&gt;0,(PerpetuityBaseValue*IF(PerpetuityGrowing=2,(1+Result!$G$28/100)^Specs!W162,1))/(1+Calculations!$D$1060)^$W162,0)</f>
        <v>0</v>
      </c>
    </row>
    <row r="163" spans="1:32" ht="12.75" customHeight="1" x14ac:dyDescent="0.35">
      <c r="A163" s="17"/>
      <c r="B163" s="17"/>
      <c r="C163" s="17"/>
      <c r="D163" s="17"/>
      <c r="E163" s="17"/>
      <c r="F163" s="36" t="str">
        <f t="shared" ca="1" si="20"/>
        <v>-</v>
      </c>
      <c r="G163" s="93">
        <f t="shared" si="21"/>
        <v>0</v>
      </c>
      <c r="H163" s="17"/>
      <c r="I163" s="17"/>
      <c r="J163" s="17"/>
      <c r="K163" s="17"/>
      <c r="L163" s="17"/>
      <c r="M163" s="17"/>
      <c r="N163" s="17"/>
      <c r="O163" s="17"/>
      <c r="P163" s="17"/>
      <c r="Q163" s="17"/>
      <c r="R163" s="17"/>
      <c r="S163" s="17"/>
      <c r="T163" s="17"/>
      <c r="U163" s="17"/>
      <c r="V163" s="129" t="str">
        <f t="shared" si="17"/>
        <v>85 years</v>
      </c>
      <c r="W163" s="17">
        <v>85</v>
      </c>
      <c r="X163" s="17" t="str">
        <f>IF(Language&lt;&gt;5,'Basic Values'!$B$9,IF(W163&lt;5,"lata","lat"))</f>
        <v>years</v>
      </c>
      <c r="Y163" s="17">
        <f t="shared" si="18"/>
        <v>0</v>
      </c>
      <c r="Z163" s="70">
        <f>IF(Y163&lt;&gt;0,(PerpetuityBaseValue*IF(PerpetuityGrowing=2,(1+Result!$G$28/100)^Specs!W163,1))/(1+DiscYear/100)^$W163,0)</f>
        <v>0</v>
      </c>
      <c r="AA163" s="17">
        <f t="shared" si="19"/>
        <v>0</v>
      </c>
      <c r="AB163" s="70">
        <f>IF(AA163&lt;&gt;0,(PerpetuityBaseValueEquity*IF(PerpetuityGrowing=2,1+Result!$G$108/100,1))/(1+DiscYearEquity/100)^$W163,0)</f>
        <v>0</v>
      </c>
      <c r="AC163" s="70">
        <f>IF(Y163&lt;&gt;0,(PerpetuityBaseValue*IF(PerpetuityGrowing=2,(1+Result!$G$28/100)^Specs!W163,1))/(1+Calculations!$D$1056)^$W163,0)</f>
        <v>0</v>
      </c>
      <c r="AD163" s="70">
        <f>IF(Y163&lt;&gt;0,(PerpetuityBaseValue*IF(PerpetuityGrowing=2,(1+Result!$G$28/100)^Specs!W163,1))/(1+Calculations!$D$1057)^$W163,0)</f>
        <v>0</v>
      </c>
      <c r="AE163" s="70">
        <f>IF(Y163&lt;&gt;0,(PerpetuityBaseValue*IF(PerpetuityGrowing=2,(1+Result!$G$28/100)^Specs!W163,1))/(1+Calculations!$D$1059)^$W163,0)</f>
        <v>0</v>
      </c>
      <c r="AF163" s="70">
        <f>IF(Y163&lt;&gt;0,(PerpetuityBaseValue*IF(PerpetuityGrowing=2,(1+Result!$G$28/100)^Specs!W163,1))/(1+Calculations!$D$1060)^$W163,0)</f>
        <v>0</v>
      </c>
    </row>
    <row r="164" spans="1:32" ht="12.75" customHeight="1" x14ac:dyDescent="0.35">
      <c r="A164" s="17"/>
      <c r="B164" s="17"/>
      <c r="C164" s="17"/>
      <c r="D164" s="17"/>
      <c r="E164" s="17"/>
      <c r="F164" s="36" t="str">
        <f t="shared" ca="1" si="20"/>
        <v>-</v>
      </c>
      <c r="G164" s="93">
        <f t="shared" si="21"/>
        <v>0</v>
      </c>
      <c r="H164" s="17"/>
      <c r="I164" s="17"/>
      <c r="J164" s="17"/>
      <c r="K164" s="17"/>
      <c r="L164" s="17"/>
      <c r="M164" s="17"/>
      <c r="N164" s="17"/>
      <c r="O164" s="17"/>
      <c r="P164" s="17"/>
      <c r="Q164" s="17"/>
      <c r="R164" s="17"/>
      <c r="S164" s="17"/>
      <c r="T164" s="17"/>
      <c r="U164" s="17"/>
      <c r="V164" s="129" t="str">
        <f t="shared" si="17"/>
        <v>86 years</v>
      </c>
      <c r="W164" s="17">
        <v>86</v>
      </c>
      <c r="X164" s="17" t="str">
        <f>IF(Language&lt;&gt;5,'Basic Values'!$B$9,IF(W164&lt;5,"lata","lat"))</f>
        <v>years</v>
      </c>
      <c r="Y164" s="17">
        <f t="shared" si="18"/>
        <v>0</v>
      </c>
      <c r="Z164" s="70">
        <f>IF(Y164&lt;&gt;0,(PerpetuityBaseValue*IF(PerpetuityGrowing=2,(1+Result!$G$28/100)^Specs!W164,1))/(1+DiscYear/100)^$W164,0)</f>
        <v>0</v>
      </c>
      <c r="AA164" s="17">
        <f t="shared" si="19"/>
        <v>0</v>
      </c>
      <c r="AB164" s="70">
        <f>IF(AA164&lt;&gt;0,(PerpetuityBaseValueEquity*IF(PerpetuityGrowing=2,1+Result!$G$108/100,1))/(1+DiscYearEquity/100)^$W164,0)</f>
        <v>0</v>
      </c>
      <c r="AC164" s="70">
        <f>IF(Y164&lt;&gt;0,(PerpetuityBaseValue*IF(PerpetuityGrowing=2,(1+Result!$G$28/100)^Specs!W164,1))/(1+Calculations!$D$1056)^$W164,0)</f>
        <v>0</v>
      </c>
      <c r="AD164" s="70">
        <f>IF(Y164&lt;&gt;0,(PerpetuityBaseValue*IF(PerpetuityGrowing=2,(1+Result!$G$28/100)^Specs!W164,1))/(1+Calculations!$D$1057)^$W164,0)</f>
        <v>0</v>
      </c>
      <c r="AE164" s="70">
        <f>IF(Y164&lt;&gt;0,(PerpetuityBaseValue*IF(PerpetuityGrowing=2,(1+Result!$G$28/100)^Specs!W164,1))/(1+Calculations!$D$1059)^$W164,0)</f>
        <v>0</v>
      </c>
      <c r="AF164" s="70">
        <f>IF(Y164&lt;&gt;0,(PerpetuityBaseValue*IF(PerpetuityGrowing=2,(1+Result!$G$28/100)^Specs!W164,1))/(1+Calculations!$D$1060)^$W164,0)</f>
        <v>0</v>
      </c>
    </row>
    <row r="165" spans="1:32" ht="12.75" customHeight="1" x14ac:dyDescent="0.35">
      <c r="A165" s="17"/>
      <c r="B165" s="17"/>
      <c r="C165" s="17"/>
      <c r="D165" s="17"/>
      <c r="E165" s="17"/>
      <c r="F165" s="36" t="str">
        <f t="shared" ca="1" si="20"/>
        <v>-</v>
      </c>
      <c r="G165" s="1248">
        <v>0</v>
      </c>
      <c r="H165" s="17"/>
      <c r="I165" s="17"/>
      <c r="J165" s="17"/>
      <c r="K165" s="17"/>
      <c r="L165" s="17"/>
      <c r="M165" s="17"/>
      <c r="N165" s="17"/>
      <c r="O165" s="17"/>
      <c r="P165" s="17"/>
      <c r="Q165" s="17"/>
      <c r="R165" s="17"/>
      <c r="S165" s="17"/>
      <c r="T165" s="17"/>
      <c r="U165" s="17"/>
      <c r="V165" s="129" t="str">
        <f t="shared" si="17"/>
        <v>87 years</v>
      </c>
      <c r="W165" s="17">
        <v>87</v>
      </c>
      <c r="X165" s="17" t="str">
        <f>IF(Language&lt;&gt;5,'Basic Values'!$B$9,IF(W165&lt;5,"lata","lat"))</f>
        <v>years</v>
      </c>
      <c r="Y165" s="17">
        <f t="shared" si="18"/>
        <v>0</v>
      </c>
      <c r="Z165" s="70">
        <f>IF(Y165&lt;&gt;0,(PerpetuityBaseValue*IF(PerpetuityGrowing=2,(1+Result!$G$28/100)^Specs!W165,1))/(1+DiscYear/100)^$W165,0)</f>
        <v>0</v>
      </c>
      <c r="AA165" s="17">
        <f t="shared" si="19"/>
        <v>0</v>
      </c>
      <c r="AB165" s="70">
        <f>IF(AA165&lt;&gt;0,(PerpetuityBaseValueEquity*IF(PerpetuityGrowing=2,1+Result!$G$108/100,1))/(1+DiscYearEquity/100)^$W165,0)</f>
        <v>0</v>
      </c>
      <c r="AC165" s="70">
        <f>IF(Y165&lt;&gt;0,(PerpetuityBaseValue*IF(PerpetuityGrowing=2,(1+Result!$G$28/100)^Specs!W165,1))/(1+Calculations!$D$1056)^$W165,0)</f>
        <v>0</v>
      </c>
      <c r="AD165" s="70">
        <f>IF(Y165&lt;&gt;0,(PerpetuityBaseValue*IF(PerpetuityGrowing=2,(1+Result!$G$28/100)^Specs!W165,1))/(1+Calculations!$D$1057)^$W165,0)</f>
        <v>0</v>
      </c>
      <c r="AE165" s="70">
        <f>IF(Y165&lt;&gt;0,(PerpetuityBaseValue*IF(PerpetuityGrowing=2,(1+Result!$G$28/100)^Specs!W165,1))/(1+Calculations!$D$1059)^$W165,0)</f>
        <v>0</v>
      </c>
      <c r="AF165" s="70">
        <f>IF(Y165&lt;&gt;0,(PerpetuityBaseValue*IF(PerpetuityGrowing=2,(1+Result!$G$28/100)^Specs!W165,1))/(1+Calculations!$D$1060)^$W165,0)</f>
        <v>0</v>
      </c>
    </row>
    <row r="166" spans="1:32" ht="12.75" customHeight="1" x14ac:dyDescent="0.35">
      <c r="A166" s="17"/>
      <c r="B166" s="17"/>
      <c r="C166" s="17"/>
      <c r="D166" s="17"/>
      <c r="E166" s="17"/>
      <c r="F166" s="36" t="str">
        <f t="shared" ca="1" si="20"/>
        <v>-</v>
      </c>
      <c r="G166" s="93">
        <f t="shared" si="21"/>
        <v>0</v>
      </c>
      <c r="H166" s="17"/>
      <c r="I166" s="17"/>
      <c r="J166" s="17"/>
      <c r="K166" s="17"/>
      <c r="L166" s="17"/>
      <c r="M166" s="17"/>
      <c r="N166" s="17"/>
      <c r="O166" s="17"/>
      <c r="P166" s="17"/>
      <c r="Q166" s="17"/>
      <c r="R166" s="17"/>
      <c r="S166" s="17"/>
      <c r="T166" s="17"/>
      <c r="U166" s="17"/>
      <c r="V166" s="129" t="str">
        <f t="shared" si="17"/>
        <v>88 years</v>
      </c>
      <c r="W166" s="17">
        <v>88</v>
      </c>
      <c r="X166" s="17" t="str">
        <f>IF(Language&lt;&gt;5,'Basic Values'!$B$9,IF(W166&lt;5,"lata","lat"))</f>
        <v>years</v>
      </c>
      <c r="Y166" s="17">
        <f t="shared" si="18"/>
        <v>0</v>
      </c>
      <c r="Z166" s="70">
        <f>IF(Y166&lt;&gt;0,(PerpetuityBaseValue*IF(PerpetuityGrowing=2,(1+Result!$G$28/100)^Specs!W166,1))/(1+DiscYear/100)^$W166,0)</f>
        <v>0</v>
      </c>
      <c r="AA166" s="17">
        <f t="shared" si="19"/>
        <v>0</v>
      </c>
      <c r="AB166" s="70">
        <f>IF(AA166&lt;&gt;0,(PerpetuityBaseValueEquity*IF(PerpetuityGrowing=2,1+Result!$G$108/100,1))/(1+DiscYearEquity/100)^$W166,0)</f>
        <v>0</v>
      </c>
      <c r="AC166" s="70">
        <f>IF(Y166&lt;&gt;0,(PerpetuityBaseValue*IF(PerpetuityGrowing=2,(1+Result!$G$28/100)^Specs!W166,1))/(1+Calculations!$D$1056)^$W166,0)</f>
        <v>0</v>
      </c>
      <c r="AD166" s="70">
        <f>IF(Y166&lt;&gt;0,(PerpetuityBaseValue*IF(PerpetuityGrowing=2,(1+Result!$G$28/100)^Specs!W166,1))/(1+Calculations!$D$1057)^$W166,0)</f>
        <v>0</v>
      </c>
      <c r="AE166" s="70">
        <f>IF(Y166&lt;&gt;0,(PerpetuityBaseValue*IF(PerpetuityGrowing=2,(1+Result!$G$28/100)^Specs!W166,1))/(1+Calculations!$D$1059)^$W166,0)</f>
        <v>0</v>
      </c>
      <c r="AF166" s="70">
        <f>IF(Y166&lt;&gt;0,(PerpetuityBaseValue*IF(PerpetuityGrowing=2,(1+Result!$G$28/100)^Specs!W166,1))/(1+Calculations!$D$1060)^$W166,0)</f>
        <v>0</v>
      </c>
    </row>
    <row r="167" spans="1:32" ht="12.75" customHeight="1" x14ac:dyDescent="0.35">
      <c r="A167" s="17"/>
      <c r="B167" s="17"/>
      <c r="C167" s="17"/>
      <c r="D167" s="17"/>
      <c r="E167" s="17"/>
      <c r="F167" s="36" t="str">
        <f t="shared" ca="1" si="20"/>
        <v>-</v>
      </c>
      <c r="G167" s="1248">
        <v>0</v>
      </c>
      <c r="H167" s="17"/>
      <c r="I167" s="17"/>
      <c r="J167" s="17"/>
      <c r="K167" s="17"/>
      <c r="L167" s="17"/>
      <c r="M167" s="17"/>
      <c r="N167" s="17"/>
      <c r="O167" s="17"/>
      <c r="P167" s="17"/>
      <c r="Q167" s="17"/>
      <c r="R167" s="17"/>
      <c r="S167" s="17"/>
      <c r="T167" s="17"/>
      <c r="U167" s="17"/>
      <c r="V167" s="129" t="str">
        <f t="shared" si="17"/>
        <v>89 years</v>
      </c>
      <c r="W167" s="17">
        <v>89</v>
      </c>
      <c r="X167" s="17" t="str">
        <f>IF(Language&lt;&gt;5,'Basic Values'!$B$9,IF(W167&lt;5,"lata","lat"))</f>
        <v>years</v>
      </c>
      <c r="Y167" s="17">
        <f t="shared" si="18"/>
        <v>0</v>
      </c>
      <c r="Z167" s="70">
        <f>IF(Y167&lt;&gt;0,(PerpetuityBaseValue*IF(PerpetuityGrowing=2,(1+Result!$G$28/100)^Specs!W167,1))/(1+DiscYear/100)^$W167,0)</f>
        <v>0</v>
      </c>
      <c r="AA167" s="17">
        <f t="shared" si="19"/>
        <v>0</v>
      </c>
      <c r="AB167" s="70">
        <f>IF(AA167&lt;&gt;0,(PerpetuityBaseValueEquity*IF(PerpetuityGrowing=2,1+Result!$G$108/100,1))/(1+DiscYearEquity/100)^$W167,0)</f>
        <v>0</v>
      </c>
      <c r="AC167" s="70">
        <f>IF(Y167&lt;&gt;0,(PerpetuityBaseValue*IF(PerpetuityGrowing=2,(1+Result!$G$28/100)^Specs!W167,1))/(1+Calculations!$D$1056)^$W167,0)</f>
        <v>0</v>
      </c>
      <c r="AD167" s="70">
        <f>IF(Y167&lt;&gt;0,(PerpetuityBaseValue*IF(PerpetuityGrowing=2,(1+Result!$G$28/100)^Specs!W167,1))/(1+Calculations!$D$1057)^$W167,0)</f>
        <v>0</v>
      </c>
      <c r="AE167" s="70">
        <f>IF(Y167&lt;&gt;0,(PerpetuityBaseValue*IF(PerpetuityGrowing=2,(1+Result!$G$28/100)^Specs!W167,1))/(1+Calculations!$D$1059)^$W167,0)</f>
        <v>0</v>
      </c>
      <c r="AF167" s="70">
        <f>IF(Y167&lt;&gt;0,(PerpetuityBaseValue*IF(PerpetuityGrowing=2,(1+Result!$G$28/100)^Specs!W167,1))/(1+Calculations!$D$1060)^$W167,0)</f>
        <v>0</v>
      </c>
    </row>
    <row r="168" spans="1:32" ht="12.75" customHeight="1" x14ac:dyDescent="0.35">
      <c r="A168" s="17"/>
      <c r="B168" s="17"/>
      <c r="C168" s="17"/>
      <c r="D168" s="17"/>
      <c r="E168" s="17"/>
      <c r="F168" s="36" t="str">
        <f t="shared" ca="1" si="20"/>
        <v>-</v>
      </c>
      <c r="G168" s="93">
        <f t="shared" si="21"/>
        <v>0</v>
      </c>
      <c r="H168" s="17"/>
      <c r="I168" s="17"/>
      <c r="J168" s="17"/>
      <c r="K168" s="17"/>
      <c r="L168" s="17"/>
      <c r="M168" s="17"/>
      <c r="N168" s="17"/>
      <c r="O168" s="17"/>
      <c r="P168" s="17"/>
      <c r="Q168" s="17"/>
      <c r="R168" s="17"/>
      <c r="S168" s="17"/>
      <c r="T168" s="17"/>
      <c r="U168" s="17"/>
      <c r="V168" s="129" t="str">
        <f t="shared" si="17"/>
        <v>90 years</v>
      </c>
      <c r="W168" s="17">
        <v>90</v>
      </c>
      <c r="X168" s="17" t="str">
        <f>IF(Language&lt;&gt;5,'Basic Values'!$B$9,IF(W168&lt;5,"lata","lat"))</f>
        <v>years</v>
      </c>
      <c r="Y168" s="17">
        <f t="shared" si="18"/>
        <v>0</v>
      </c>
      <c r="Z168" s="70">
        <f>IF(Y168&lt;&gt;0,(PerpetuityBaseValue*IF(PerpetuityGrowing=2,(1+Result!$G$28/100)^Specs!W168,1))/(1+DiscYear/100)^$W168,0)</f>
        <v>0</v>
      </c>
      <c r="AA168" s="17">
        <f t="shared" si="19"/>
        <v>0</v>
      </c>
      <c r="AB168" s="70">
        <f>IF(AA168&lt;&gt;0,(PerpetuityBaseValueEquity*IF(PerpetuityGrowing=2,1+Result!$G$108/100,1))/(1+DiscYearEquity/100)^$W168,0)</f>
        <v>0</v>
      </c>
      <c r="AC168" s="70">
        <f>IF(Y168&lt;&gt;0,(PerpetuityBaseValue*IF(PerpetuityGrowing=2,(1+Result!$G$28/100)^Specs!W168,1))/(1+Calculations!$D$1056)^$W168,0)</f>
        <v>0</v>
      </c>
      <c r="AD168" s="70">
        <f>IF(Y168&lt;&gt;0,(PerpetuityBaseValue*IF(PerpetuityGrowing=2,(1+Result!$G$28/100)^Specs!W168,1))/(1+Calculations!$D$1057)^$W168,0)</f>
        <v>0</v>
      </c>
      <c r="AE168" s="70">
        <f>IF(Y168&lt;&gt;0,(PerpetuityBaseValue*IF(PerpetuityGrowing=2,(1+Result!$G$28/100)^Specs!W168,1))/(1+Calculations!$D$1059)^$W168,0)</f>
        <v>0</v>
      </c>
      <c r="AF168" s="70">
        <f>IF(Y168&lt;&gt;0,(PerpetuityBaseValue*IF(PerpetuityGrowing=2,(1+Result!$G$28/100)^Specs!W168,1))/(1+Calculations!$D$1060)^$W168,0)</f>
        <v>0</v>
      </c>
    </row>
    <row r="169" spans="1:32" ht="12.75" customHeight="1" x14ac:dyDescent="0.35">
      <c r="A169" s="17"/>
      <c r="B169" s="17"/>
      <c r="C169" s="17"/>
      <c r="D169" s="17"/>
      <c r="E169" s="17"/>
      <c r="F169" s="36" t="str">
        <f t="shared" ca="1" si="20"/>
        <v>-</v>
      </c>
      <c r="G169" s="1248">
        <v>0</v>
      </c>
      <c r="H169" s="17"/>
      <c r="I169" s="17"/>
      <c r="J169" s="17"/>
      <c r="K169" s="17"/>
      <c r="L169" s="17"/>
      <c r="M169" s="17"/>
      <c r="N169" s="17"/>
      <c r="O169" s="17"/>
      <c r="P169" s="17"/>
      <c r="Q169" s="17"/>
      <c r="R169" s="17"/>
      <c r="S169" s="17"/>
      <c r="T169" s="17"/>
      <c r="U169" s="17"/>
      <c r="V169" s="129" t="str">
        <f t="shared" si="17"/>
        <v>91 years</v>
      </c>
      <c r="W169" s="17">
        <v>91</v>
      </c>
      <c r="X169" s="17" t="str">
        <f>IF(Language&lt;&gt;5,'Basic Values'!$B$9,IF(W169&lt;5,"lata","lat"))</f>
        <v>years</v>
      </c>
      <c r="Y169" s="17">
        <f t="shared" si="18"/>
        <v>0</v>
      </c>
      <c r="Z169" s="70">
        <f>IF(Y169&lt;&gt;0,(PerpetuityBaseValue*IF(PerpetuityGrowing=2,(1+Result!$G$28/100)^Specs!W169,1))/(1+DiscYear/100)^$W169,0)</f>
        <v>0</v>
      </c>
      <c r="AA169" s="17">
        <f t="shared" si="19"/>
        <v>0</v>
      </c>
      <c r="AB169" s="70">
        <f>IF(AA169&lt;&gt;0,(PerpetuityBaseValueEquity*IF(PerpetuityGrowing=2,1+Result!$G$108/100,1))/(1+DiscYearEquity/100)^$W169,0)</f>
        <v>0</v>
      </c>
      <c r="AC169" s="70">
        <f>IF(Y169&lt;&gt;0,(PerpetuityBaseValue*IF(PerpetuityGrowing=2,(1+Result!$G$28/100)^Specs!W169,1))/(1+Calculations!$D$1056)^$W169,0)</f>
        <v>0</v>
      </c>
      <c r="AD169" s="70">
        <f>IF(Y169&lt;&gt;0,(PerpetuityBaseValue*IF(PerpetuityGrowing=2,(1+Result!$G$28/100)^Specs!W169,1))/(1+Calculations!$D$1057)^$W169,0)</f>
        <v>0</v>
      </c>
      <c r="AE169" s="70">
        <f>IF(Y169&lt;&gt;0,(PerpetuityBaseValue*IF(PerpetuityGrowing=2,(1+Result!$G$28/100)^Specs!W169,1))/(1+Calculations!$D$1059)^$W169,0)</f>
        <v>0</v>
      </c>
      <c r="AF169" s="70">
        <f>IF(Y169&lt;&gt;0,(PerpetuityBaseValue*IF(PerpetuityGrowing=2,(1+Result!$G$28/100)^Specs!W169,1))/(1+Calculations!$D$1060)^$W169,0)</f>
        <v>0</v>
      </c>
    </row>
    <row r="170" spans="1:32" ht="12.75" customHeight="1" x14ac:dyDescent="0.35">
      <c r="A170" s="17"/>
      <c r="B170" s="17"/>
      <c r="C170" s="17"/>
      <c r="D170" s="17"/>
      <c r="E170" s="17"/>
      <c r="F170" s="36" t="str">
        <f t="shared" ca="1" si="20"/>
        <v>-</v>
      </c>
      <c r="G170" s="93">
        <f t="shared" si="21"/>
        <v>0</v>
      </c>
      <c r="H170" s="17"/>
      <c r="I170" s="17"/>
      <c r="J170" s="17"/>
      <c r="K170" s="17"/>
      <c r="L170" s="17"/>
      <c r="M170" s="17"/>
      <c r="N170" s="17"/>
      <c r="O170" s="17"/>
      <c r="P170" s="17"/>
      <c r="Q170" s="17"/>
      <c r="R170" s="17"/>
      <c r="S170" s="17"/>
      <c r="T170" s="17"/>
      <c r="U170" s="17"/>
      <c r="V170" s="129" t="str">
        <f t="shared" si="17"/>
        <v>92 years</v>
      </c>
      <c r="W170" s="17">
        <v>92</v>
      </c>
      <c r="X170" s="17" t="str">
        <f>IF(Language&lt;&gt;5,'Basic Values'!$B$9,IF(W170&lt;5,"lata","lat"))</f>
        <v>years</v>
      </c>
      <c r="Y170" s="17">
        <f t="shared" si="18"/>
        <v>0</v>
      </c>
      <c r="Z170" s="70">
        <f>IF(Y170&lt;&gt;0,(PerpetuityBaseValue*IF(PerpetuityGrowing=2,(1+Result!$G$28/100)^Specs!W170,1))/(1+DiscYear/100)^$W170,0)</f>
        <v>0</v>
      </c>
      <c r="AA170" s="17">
        <f t="shared" si="19"/>
        <v>0</v>
      </c>
      <c r="AB170" s="70">
        <f>IF(AA170&lt;&gt;0,(PerpetuityBaseValueEquity*IF(PerpetuityGrowing=2,1+Result!$G$108/100,1))/(1+DiscYearEquity/100)^$W170,0)</f>
        <v>0</v>
      </c>
      <c r="AC170" s="70">
        <f>IF(Y170&lt;&gt;0,(PerpetuityBaseValue*IF(PerpetuityGrowing=2,(1+Result!$G$28/100)^Specs!W170,1))/(1+Calculations!$D$1056)^$W170,0)</f>
        <v>0</v>
      </c>
      <c r="AD170" s="70">
        <f>IF(Y170&lt;&gt;0,(PerpetuityBaseValue*IF(PerpetuityGrowing=2,(1+Result!$G$28/100)^Specs!W170,1))/(1+Calculations!$D$1057)^$W170,0)</f>
        <v>0</v>
      </c>
      <c r="AE170" s="70">
        <f>IF(Y170&lt;&gt;0,(PerpetuityBaseValue*IF(PerpetuityGrowing=2,(1+Result!$G$28/100)^Specs!W170,1))/(1+Calculations!$D$1059)^$W170,0)</f>
        <v>0</v>
      </c>
      <c r="AF170" s="70">
        <f>IF(Y170&lt;&gt;0,(PerpetuityBaseValue*IF(PerpetuityGrowing=2,(1+Result!$G$28/100)^Specs!W170,1))/(1+Calculations!$D$1060)^$W170,0)</f>
        <v>0</v>
      </c>
    </row>
    <row r="171" spans="1:32" ht="12.75" customHeight="1" x14ac:dyDescent="0.35">
      <c r="A171" s="17"/>
      <c r="B171" s="17"/>
      <c r="C171" s="17"/>
      <c r="D171" s="17"/>
      <c r="E171" s="17"/>
      <c r="F171" s="43" t="str">
        <f t="shared" ca="1" si="20"/>
        <v>-</v>
      </c>
      <c r="G171" s="95">
        <f t="shared" si="21"/>
        <v>0</v>
      </c>
      <c r="H171" s="17"/>
      <c r="I171" s="17"/>
      <c r="J171" s="17"/>
      <c r="K171" s="17"/>
      <c r="L171" s="17"/>
      <c r="M171" s="17"/>
      <c r="N171" s="17"/>
      <c r="O171" s="17"/>
      <c r="P171" s="17"/>
      <c r="Q171" s="17"/>
      <c r="R171" s="17"/>
      <c r="S171" s="17"/>
      <c r="T171" s="17"/>
      <c r="U171" s="17"/>
      <c r="V171" s="129" t="str">
        <f t="shared" si="17"/>
        <v>93 years</v>
      </c>
      <c r="W171" s="17">
        <v>93</v>
      </c>
      <c r="X171" s="17" t="str">
        <f>IF(Language&lt;&gt;5,'Basic Values'!$B$9,IF(W171&lt;5,"lata","lat"))</f>
        <v>years</v>
      </c>
      <c r="Y171" s="17">
        <f t="shared" si="18"/>
        <v>0</v>
      </c>
      <c r="Z171" s="70">
        <f>IF(Y171&lt;&gt;0,(PerpetuityBaseValue*IF(PerpetuityGrowing=2,(1+Result!$G$28/100)^Specs!W171,1))/(1+DiscYear/100)^$W171,0)</f>
        <v>0</v>
      </c>
      <c r="AA171" s="17">
        <f t="shared" si="19"/>
        <v>0</v>
      </c>
      <c r="AB171" s="70">
        <f>IF(AA171&lt;&gt;0,(PerpetuityBaseValueEquity*IF(PerpetuityGrowing=2,1+Result!$G$108/100,1))/(1+DiscYearEquity/100)^$W171,0)</f>
        <v>0</v>
      </c>
      <c r="AC171" s="70">
        <f>IF(Y171&lt;&gt;0,(PerpetuityBaseValue*IF(PerpetuityGrowing=2,(1+Result!$G$28/100)^Specs!W171,1))/(1+Calculations!$D$1056)^$W171,0)</f>
        <v>0</v>
      </c>
      <c r="AD171" s="70">
        <f>IF(Y171&lt;&gt;0,(PerpetuityBaseValue*IF(PerpetuityGrowing=2,(1+Result!$G$28/100)^Specs!W171,1))/(1+Calculations!$D$1057)^$W171,0)</f>
        <v>0</v>
      </c>
      <c r="AE171" s="70">
        <f>IF(Y171&lt;&gt;0,(PerpetuityBaseValue*IF(PerpetuityGrowing=2,(1+Result!$G$28/100)^Specs!W171,1))/(1+Calculations!$D$1059)^$W171,0)</f>
        <v>0</v>
      </c>
      <c r="AF171" s="70">
        <f>IF(Y171&lt;&gt;0,(PerpetuityBaseValue*IF(PerpetuityGrowing=2,(1+Result!$G$28/100)^Specs!W171,1))/(1+Calculations!$D$1060)^$W171,0)</f>
        <v>0</v>
      </c>
    </row>
    <row r="172" spans="1:32" ht="12.75" customHeight="1" x14ac:dyDescent="0.35">
      <c r="A172" s="17"/>
      <c r="B172" s="17"/>
      <c r="C172" s="17"/>
      <c r="D172" s="17"/>
      <c r="E172" s="17"/>
      <c r="F172" s="96" t="s">
        <v>2423</v>
      </c>
      <c r="G172" s="17"/>
      <c r="H172" s="17"/>
      <c r="I172" s="17"/>
      <c r="J172" s="17"/>
      <c r="K172" s="17"/>
      <c r="L172" s="17"/>
      <c r="M172" s="17"/>
      <c r="N172" s="17"/>
      <c r="O172" s="17"/>
      <c r="P172" s="17"/>
      <c r="Q172" s="17"/>
      <c r="R172" s="17"/>
      <c r="S172" s="17"/>
      <c r="T172" s="17"/>
      <c r="U172" s="17"/>
      <c r="V172" s="129" t="str">
        <f t="shared" si="17"/>
        <v>94 years</v>
      </c>
      <c r="W172" s="17">
        <v>94</v>
      </c>
      <c r="X172" s="17" t="str">
        <f>IF(Language&lt;&gt;5,'Basic Values'!$B$9,IF(W172&lt;5,"lata","lat"))</f>
        <v>years</v>
      </c>
      <c r="Y172" s="17">
        <f t="shared" si="18"/>
        <v>0</v>
      </c>
      <c r="Z172" s="70">
        <f>IF(Y172&lt;&gt;0,(PerpetuityBaseValue*IF(PerpetuityGrowing=2,(1+Result!$G$28/100)^Specs!W172,1))/(1+DiscYear/100)^$W172,0)</f>
        <v>0</v>
      </c>
      <c r="AA172" s="17">
        <f t="shared" si="19"/>
        <v>0</v>
      </c>
      <c r="AB172" s="70">
        <f>IF(AA172&lt;&gt;0,(PerpetuityBaseValueEquity*IF(PerpetuityGrowing=2,1+Result!$G$108/100,1))/(1+DiscYearEquity/100)^$W172,0)</f>
        <v>0</v>
      </c>
      <c r="AC172" s="70">
        <f>IF(Y172&lt;&gt;0,(PerpetuityBaseValue*IF(PerpetuityGrowing=2,(1+Result!$G$28/100)^Specs!W172,1))/(1+Calculations!$D$1056)^$W172,0)</f>
        <v>0</v>
      </c>
      <c r="AD172" s="70">
        <f>IF(Y172&lt;&gt;0,(PerpetuityBaseValue*IF(PerpetuityGrowing=2,(1+Result!$G$28/100)^Specs!W172,1))/(1+Calculations!$D$1057)^$W172,0)</f>
        <v>0</v>
      </c>
      <c r="AE172" s="70">
        <f>IF(Y172&lt;&gt;0,(PerpetuityBaseValue*IF(PerpetuityGrowing=2,(1+Result!$G$28/100)^Specs!W172,1))/(1+Calculations!$D$1059)^$W172,0)</f>
        <v>0</v>
      </c>
      <c r="AF172" s="70">
        <f>IF(Y172&lt;&gt;0,(PerpetuityBaseValue*IF(PerpetuityGrowing=2,(1+Result!$G$28/100)^Specs!W172,1))/(1+Calculations!$D$1060)^$W172,0)</f>
        <v>0</v>
      </c>
    </row>
    <row r="173" spans="1:32" ht="12.75" customHeight="1" x14ac:dyDescent="0.35">
      <c r="A173" s="17"/>
      <c r="B173" s="17"/>
      <c r="C173" s="17"/>
      <c r="D173" s="17"/>
      <c r="E173" s="17"/>
      <c r="F173" s="1245">
        <f ca="1">IF(AND(G173&lt;&gt;G175,G176&lt;&gt;0),IF(G173&gt;-G176,G173,G175),G173)</f>
        <v>0</v>
      </c>
      <c r="G173" s="133">
        <f ca="1">MIN(F150:F171)</f>
        <v>0</v>
      </c>
      <c r="H173" s="17"/>
      <c r="I173" s="17"/>
      <c r="J173" s="17"/>
      <c r="K173" s="17"/>
      <c r="L173" s="17"/>
      <c r="M173" s="17"/>
      <c r="N173" s="17"/>
      <c r="O173" s="17"/>
      <c r="P173" s="17"/>
      <c r="Q173" s="17"/>
      <c r="R173" s="17"/>
      <c r="S173" s="17"/>
      <c r="T173" s="17"/>
      <c r="U173" s="17"/>
      <c r="V173" s="129" t="str">
        <f t="shared" si="17"/>
        <v>95 years</v>
      </c>
      <c r="W173" s="17">
        <v>95</v>
      </c>
      <c r="X173" s="17" t="str">
        <f>IF(Language&lt;&gt;5,'Basic Values'!$B$9,IF(W173&lt;5,"lata","lat"))</f>
        <v>years</v>
      </c>
      <c r="Y173" s="17">
        <f t="shared" si="18"/>
        <v>0</v>
      </c>
      <c r="Z173" s="70">
        <f>IF(Y173&lt;&gt;0,(PerpetuityBaseValue*IF(PerpetuityGrowing=2,(1+Result!$G$28/100)^Specs!W173,1))/(1+DiscYear/100)^$W173,0)</f>
        <v>0</v>
      </c>
      <c r="AA173" s="17">
        <f t="shared" si="19"/>
        <v>0</v>
      </c>
      <c r="AB173" s="70">
        <f>IF(AA173&lt;&gt;0,(PerpetuityBaseValueEquity*IF(PerpetuityGrowing=2,1+Result!$G$108/100,1))/(1+DiscYearEquity/100)^$W173,0)</f>
        <v>0</v>
      </c>
      <c r="AC173" s="70">
        <f>IF(Y173&lt;&gt;0,(PerpetuityBaseValue*IF(PerpetuityGrowing=2,(1+Result!$G$28/100)^Specs!W173,1))/(1+Calculations!$D$1056)^$W173,0)</f>
        <v>0</v>
      </c>
      <c r="AD173" s="70">
        <f>IF(Y173&lt;&gt;0,(PerpetuityBaseValue*IF(PerpetuityGrowing=2,(1+Result!$G$28/100)^Specs!W173,1))/(1+Calculations!$D$1057)^$W173,0)</f>
        <v>0</v>
      </c>
      <c r="AE173" s="70">
        <f>IF(Y173&lt;&gt;0,(PerpetuityBaseValue*IF(PerpetuityGrowing=2,(1+Result!$G$28/100)^Specs!W173,1))/(1+Calculations!$D$1059)^$W173,0)</f>
        <v>0</v>
      </c>
      <c r="AF173" s="70">
        <f>IF(Y173&lt;&gt;0,(PerpetuityBaseValue*IF(PerpetuityGrowing=2,(1+Result!$G$28/100)^Specs!W173,1))/(1+Calculations!$D$1060)^$W173,0)</f>
        <v>0</v>
      </c>
    </row>
    <row r="174" spans="1:32" ht="12.75" customHeight="1" x14ac:dyDescent="0.35">
      <c r="A174" s="17"/>
      <c r="B174" s="17"/>
      <c r="C174" s="17"/>
      <c r="D174" s="17"/>
      <c r="E174" s="17"/>
      <c r="F174" s="85" t="s">
        <v>2424</v>
      </c>
      <c r="G174" s="133">
        <f ca="1">ABS(SUMIF(IrrCashFlowEquity,"&gt;0")/-SUMIF(IrrCashFlowEquity,"&lt;0")-1)</f>
        <v>3.6384050103291283</v>
      </c>
      <c r="H174" s="17"/>
      <c r="I174" s="17"/>
      <c r="J174" s="17"/>
      <c r="K174" s="17"/>
      <c r="L174" s="17"/>
      <c r="M174" s="17"/>
      <c r="N174" s="17"/>
      <c r="O174" s="17"/>
      <c r="P174" s="17"/>
      <c r="Q174" s="17"/>
      <c r="R174" s="17"/>
      <c r="S174" s="17"/>
      <c r="T174" s="17"/>
      <c r="U174" s="17"/>
      <c r="V174" s="129" t="str">
        <f t="shared" si="17"/>
        <v>96 years</v>
      </c>
      <c r="W174" s="17">
        <v>96</v>
      </c>
      <c r="X174" s="17" t="str">
        <f>IF(Language&lt;&gt;5,'Basic Values'!$B$9,IF(W174&lt;5,"lata","lat"))</f>
        <v>years</v>
      </c>
      <c r="Y174" s="17">
        <f t="shared" si="18"/>
        <v>0</v>
      </c>
      <c r="Z174" s="70">
        <f>IF(Y174&lt;&gt;0,(PerpetuityBaseValue*IF(PerpetuityGrowing=2,(1+Result!$G$28/100)^Specs!W174,1))/(1+DiscYear/100)^$W174,0)</f>
        <v>0</v>
      </c>
      <c r="AA174" s="17">
        <f t="shared" si="19"/>
        <v>0</v>
      </c>
      <c r="AB174" s="70">
        <f>IF(AA174&lt;&gt;0,(PerpetuityBaseValueEquity*IF(PerpetuityGrowing=2,1+Result!$G$108/100,1))/(1+DiscYearEquity/100)^$W174,0)</f>
        <v>0</v>
      </c>
      <c r="AC174" s="70">
        <f>IF(Y174&lt;&gt;0,(PerpetuityBaseValue*IF(PerpetuityGrowing=2,(1+Result!$G$28/100)^Specs!W174,1))/(1+Calculations!$D$1056)^$W174,0)</f>
        <v>0</v>
      </c>
      <c r="AD174" s="70">
        <f>IF(Y174&lt;&gt;0,(PerpetuityBaseValue*IF(PerpetuityGrowing=2,(1+Result!$G$28/100)^Specs!W174,1))/(1+Calculations!$D$1057)^$W174,0)</f>
        <v>0</v>
      </c>
      <c r="AE174" s="70">
        <f>IF(Y174&lt;&gt;0,(PerpetuityBaseValue*IF(PerpetuityGrowing=2,(1+Result!$G$28/100)^Specs!W174,1))/(1+Calculations!$D$1059)^$W174,0)</f>
        <v>0</v>
      </c>
      <c r="AF174" s="70">
        <f>IF(Y174&lt;&gt;0,(PerpetuityBaseValue*IF(PerpetuityGrowing=2,(1+Result!$G$28/100)^Specs!W174,1))/(1+Calculations!$D$1060)^$W174,0)</f>
        <v>0</v>
      </c>
    </row>
    <row r="175" spans="1:32" ht="12.75" customHeight="1" x14ac:dyDescent="0.35">
      <c r="A175" s="17"/>
      <c r="B175" s="17"/>
      <c r="C175" s="17"/>
      <c r="D175" s="17"/>
      <c r="E175" s="17"/>
      <c r="F175" s="1245">
        <f ca="1">IF(AND(G173&lt;&gt;G175,G176&lt;&gt;0),IF(G175&gt;-G176,G175,G173),G175)</f>
        <v>0</v>
      </c>
      <c r="G175" s="133">
        <f ca="1">MAX(F150:F171)</f>
        <v>0</v>
      </c>
      <c r="H175" s="17"/>
      <c r="I175" s="17"/>
      <c r="J175" s="17"/>
      <c r="K175" s="17"/>
      <c r="L175" s="17"/>
      <c r="M175" s="17"/>
      <c r="N175" s="17"/>
      <c r="O175" s="17"/>
      <c r="P175" s="17"/>
      <c r="Q175" s="17"/>
      <c r="R175" s="17"/>
      <c r="S175" s="17"/>
      <c r="T175" s="17"/>
      <c r="U175" s="17"/>
      <c r="V175" s="129" t="str">
        <f t="shared" ref="V175:V178" si="22">W175&amp;" "&amp;X175</f>
        <v>97 years</v>
      </c>
      <c r="W175" s="17">
        <v>97</v>
      </c>
      <c r="X175" s="17" t="str">
        <f>IF(Language&lt;&gt;5,'Basic Values'!$B$9,IF(W175&lt;5,"lata","lat"))</f>
        <v>years</v>
      </c>
      <c r="Y175" s="17">
        <f t="shared" si="18"/>
        <v>0</v>
      </c>
      <c r="Z175" s="70">
        <f>IF(Y175&lt;&gt;0,(PerpetuityBaseValue*IF(PerpetuityGrowing=2,(1+Result!$G$28/100)^Specs!W175,1))/(1+DiscYear/100)^$W175,0)</f>
        <v>0</v>
      </c>
      <c r="AA175" s="17">
        <f t="shared" si="19"/>
        <v>0</v>
      </c>
      <c r="AB175" s="70">
        <f>IF(AA175&lt;&gt;0,(PerpetuityBaseValueEquity*IF(PerpetuityGrowing=2,1+Result!$G$108/100,1))/(1+DiscYearEquity/100)^$W175,0)</f>
        <v>0</v>
      </c>
      <c r="AC175" s="70">
        <f>IF(Y175&lt;&gt;0,(PerpetuityBaseValue*IF(PerpetuityGrowing=2,(1+Result!$G$28/100)^Specs!W175,1))/(1+Calculations!$D$1056)^$W175,0)</f>
        <v>0</v>
      </c>
      <c r="AD175" s="70">
        <f>IF(Y175&lt;&gt;0,(PerpetuityBaseValue*IF(PerpetuityGrowing=2,(1+Result!$G$28/100)^Specs!W175,1))/(1+Calculations!$D$1057)^$W175,0)</f>
        <v>0</v>
      </c>
      <c r="AE175" s="70">
        <f>IF(Y175&lt;&gt;0,(PerpetuityBaseValue*IF(PerpetuityGrowing=2,(1+Result!$G$28/100)^Specs!W175,1))/(1+Calculations!$D$1059)^$W175,0)</f>
        <v>0</v>
      </c>
      <c r="AF175" s="70">
        <f>IF(Y175&lt;&gt;0,(PerpetuityBaseValue*IF(PerpetuityGrowing=2,(1+Result!$G$28/100)^Specs!W175,1))/(1+Calculations!$D$1060)^$W175,0)</f>
        <v>0</v>
      </c>
    </row>
    <row r="176" spans="1:32" ht="12.75" customHeight="1" x14ac:dyDescent="0.35">
      <c r="A176" s="17"/>
      <c r="B176" s="17"/>
      <c r="C176" s="17"/>
      <c r="D176" s="17"/>
      <c r="E176" s="17"/>
      <c r="F176" s="17" t="s">
        <v>5101</v>
      </c>
      <c r="G176" s="133">
        <f ca="1">IF(ISERROR(G174),0,G174)</f>
        <v>3.6384050103291283</v>
      </c>
      <c r="H176" s="17"/>
      <c r="I176" s="17"/>
      <c r="J176" s="17"/>
      <c r="K176" s="17"/>
      <c r="L176" s="17"/>
      <c r="M176" s="17"/>
      <c r="N176" s="17"/>
      <c r="O176" s="17"/>
      <c r="P176" s="17"/>
      <c r="Q176" s="17"/>
      <c r="R176" s="17"/>
      <c r="S176" s="17"/>
      <c r="T176" s="17"/>
      <c r="U176" s="17"/>
      <c r="V176" s="129" t="str">
        <f t="shared" si="22"/>
        <v>98 years</v>
      </c>
      <c r="W176" s="17">
        <v>98</v>
      </c>
      <c r="X176" s="17" t="str">
        <f>IF(Language&lt;&gt;5,'Basic Values'!$B$9,IF(W176&lt;5,"lata","lat"))</f>
        <v>years</v>
      </c>
      <c r="Y176" s="17">
        <f t="shared" si="18"/>
        <v>0</v>
      </c>
      <c r="Z176" s="70">
        <f>IF(Y176&lt;&gt;0,(PerpetuityBaseValue*IF(PerpetuityGrowing=2,(1+Result!$G$28/100)^Specs!W176,1))/(1+DiscYear/100)^$W176,0)</f>
        <v>0</v>
      </c>
      <c r="AA176" s="17">
        <f t="shared" si="19"/>
        <v>0</v>
      </c>
      <c r="AB176" s="70">
        <f>IF(AA176&lt;&gt;0,(PerpetuityBaseValueEquity*IF(PerpetuityGrowing=2,1+Result!$G$108/100,1))/(1+DiscYearEquity/100)^$W176,0)</f>
        <v>0</v>
      </c>
      <c r="AC176" s="70">
        <f>IF(Y176&lt;&gt;0,(PerpetuityBaseValue*IF(PerpetuityGrowing=2,(1+Result!$G$28/100)^Specs!W176,1))/(1+Calculations!$D$1056)^$W176,0)</f>
        <v>0</v>
      </c>
      <c r="AD176" s="70">
        <f>IF(Y176&lt;&gt;0,(PerpetuityBaseValue*IF(PerpetuityGrowing=2,(1+Result!$G$28/100)^Specs!W176,1))/(1+Calculations!$D$1057)^$W176,0)</f>
        <v>0</v>
      </c>
      <c r="AE176" s="70">
        <f>IF(Y176&lt;&gt;0,(PerpetuityBaseValue*IF(PerpetuityGrowing=2,(1+Result!$G$28/100)^Specs!W176,1))/(1+Calculations!$D$1059)^$W176,0)</f>
        <v>0</v>
      </c>
      <c r="AF176" s="70">
        <f>IF(Y176&lt;&gt;0,(PerpetuityBaseValue*IF(PerpetuityGrowing=2,(1+Result!$G$28/100)^Specs!W176,1))/(1+Calculations!$D$1060)^$W176,0)</f>
        <v>0</v>
      </c>
    </row>
    <row r="177" spans="1:32" ht="12.75" customHeight="1" x14ac:dyDescent="0.35">
      <c r="A177" s="17"/>
      <c r="B177" s="17"/>
      <c r="C177" s="17"/>
      <c r="D177" s="17"/>
      <c r="E177" s="17"/>
      <c r="F177" s="28"/>
      <c r="G177" s="28"/>
      <c r="H177" s="17"/>
      <c r="I177" s="17"/>
      <c r="J177" s="17"/>
      <c r="K177" s="17"/>
      <c r="L177" s="17"/>
      <c r="M177" s="17"/>
      <c r="N177" s="17"/>
      <c r="O177" s="17"/>
      <c r="P177" s="17"/>
      <c r="Q177" s="17"/>
      <c r="R177" s="17"/>
      <c r="S177" s="17"/>
      <c r="T177" s="17"/>
      <c r="U177" s="17"/>
      <c r="V177" s="129" t="str">
        <f t="shared" si="22"/>
        <v>99 years</v>
      </c>
      <c r="W177" s="17">
        <v>99</v>
      </c>
      <c r="X177" s="17" t="str">
        <f>IF(Language&lt;&gt;5,'Basic Values'!$B$9,IF(W177&lt;5,"lata","lat"))</f>
        <v>years</v>
      </c>
      <c r="Y177" s="17">
        <f t="shared" si="18"/>
        <v>0</v>
      </c>
      <c r="Z177" s="70">
        <f>IF(Y177&lt;&gt;0,(PerpetuityBaseValue*IF(PerpetuityGrowing=2,(1+Result!$G$28/100)^Specs!W177,1))/(1+DiscYear/100)^$W177,0)</f>
        <v>0</v>
      </c>
      <c r="AA177" s="17">
        <f t="shared" si="19"/>
        <v>0</v>
      </c>
      <c r="AB177" s="70">
        <f>IF(AA177&lt;&gt;0,(PerpetuityBaseValueEquity*IF(PerpetuityGrowing=2,1+Result!$G$108/100,1))/(1+DiscYearEquity/100)^$W177,0)</f>
        <v>0</v>
      </c>
      <c r="AC177" s="70">
        <f>IF(Y177&lt;&gt;0,(PerpetuityBaseValue*IF(PerpetuityGrowing=2,(1+Result!$G$28/100)^Specs!W177,1))/(1+Calculations!$D$1056)^$W177,0)</f>
        <v>0</v>
      </c>
      <c r="AD177" s="70">
        <f>IF(Y177&lt;&gt;0,(PerpetuityBaseValue*IF(PerpetuityGrowing=2,(1+Result!$G$28/100)^Specs!W177,1))/(1+Calculations!$D$1057)^$W177,0)</f>
        <v>0</v>
      </c>
      <c r="AE177" s="70">
        <f>IF(Y177&lt;&gt;0,(PerpetuityBaseValue*IF(PerpetuityGrowing=2,(1+Result!$G$28/100)^Specs!W177,1))/(1+Calculations!$D$1059)^$W177,0)</f>
        <v>0</v>
      </c>
      <c r="AF177" s="70">
        <f>IF(Y177&lt;&gt;0,(PerpetuityBaseValue*IF(PerpetuityGrowing=2,(1+Result!$G$28/100)^Specs!W177,1))/(1+Calculations!$D$1060)^$W177,0)</f>
        <v>0</v>
      </c>
    </row>
    <row r="178" spans="1:32" ht="12.75" customHeight="1" x14ac:dyDescent="0.35">
      <c r="A178" s="17"/>
      <c r="B178" s="17"/>
      <c r="C178" s="17"/>
      <c r="D178" s="17"/>
      <c r="E178" s="17"/>
      <c r="F178" s="164" t="s">
        <v>2425</v>
      </c>
      <c r="G178" s="85">
        <f ca="1">IF(ISNA(G201),"-",OFFSET(G178,G201,0))</f>
        <v>0.66661631057319237</v>
      </c>
      <c r="H178" s="17"/>
      <c r="I178" s="17"/>
      <c r="J178" s="17"/>
      <c r="K178" s="17"/>
      <c r="L178" s="17"/>
      <c r="M178" s="17"/>
      <c r="N178" s="17"/>
      <c r="O178" s="17"/>
      <c r="P178" s="17"/>
      <c r="Q178" s="17"/>
      <c r="R178" s="17"/>
      <c r="S178" s="17"/>
      <c r="T178" s="17"/>
      <c r="U178" s="17"/>
      <c r="V178" s="130" t="str">
        <f t="shared" si="22"/>
        <v>100 years</v>
      </c>
      <c r="W178" s="17">
        <v>100</v>
      </c>
      <c r="X178" s="17" t="str">
        <f>IF(Language&lt;&gt;5,'Basic Values'!$B$9,IF(W178&lt;5,"lata","lat"))</f>
        <v>years</v>
      </c>
      <c r="Y178" s="17">
        <f t="shared" si="18"/>
        <v>0</v>
      </c>
      <c r="Z178" s="70">
        <f>IF(Y178&lt;&gt;0,(PerpetuityBaseValue*IF(PerpetuityGrowing=2,(1+Result!$G$28/100)^Specs!W178,1))/(1+DiscYear/100)^$W178,0)</f>
        <v>0</v>
      </c>
      <c r="AA178" s="17">
        <f t="shared" si="19"/>
        <v>0</v>
      </c>
      <c r="AB178" s="70">
        <f>IF(AA178&lt;&gt;0,(PerpetuityBaseValueEquity*IF(PerpetuityGrowing=2,1+Result!$G$108/100,1))/(1+DiscYearEquity/100)^$W178,0)</f>
        <v>0</v>
      </c>
      <c r="AC178" s="70">
        <f>IF(Y178&lt;&gt;0,(PerpetuityBaseValue*IF(PerpetuityGrowing=2,(1+Result!$G$28/100)^Specs!W178,1))/(1+Calculations!$D$1056)^$W178,0)</f>
        <v>0</v>
      </c>
      <c r="AD178" s="70">
        <f>IF(Y178&lt;&gt;0,(PerpetuityBaseValue*IF(PerpetuityGrowing=2,(1+Result!$G$28/100)^Specs!W178,1))/(1+Calculations!$D$1057)^$W178,0)</f>
        <v>0</v>
      </c>
      <c r="AE178" s="70">
        <f>IF(Y178&lt;&gt;0,(PerpetuityBaseValue*IF(PerpetuityGrowing=2,(1+Result!$G$28/100)^Specs!W178,1))/(1+Calculations!$D$1059)^$W178,0)</f>
        <v>0</v>
      </c>
      <c r="AF178" s="70">
        <f>IF(Y178&lt;&gt;0,(PerpetuityBaseValue*IF(PerpetuityGrowing=2,(1+Result!$G$28/100)^Specs!W178,1))/(1+Calculations!$D$1060)^$W178,0)</f>
        <v>0</v>
      </c>
    </row>
    <row r="179" spans="1:32" ht="12.75" customHeight="1" x14ac:dyDescent="0.35">
      <c r="A179" s="17"/>
      <c r="B179" s="17"/>
      <c r="C179" s="17"/>
      <c r="D179" s="17"/>
      <c r="E179" s="17"/>
      <c r="F179" s="29">
        <f>F180*0.5</f>
        <v>1.1316398208850442E-3</v>
      </c>
      <c r="G179" s="86">
        <f t="shared" ref="G179:G200" ca="1" si="23">(1+IRR(PreTaxCashFlow,$F179))^12-1</f>
        <v>0.66661631057319237</v>
      </c>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row>
    <row r="180" spans="1:32" ht="12.75" customHeight="1" x14ac:dyDescent="0.35">
      <c r="A180" s="17"/>
      <c r="B180" s="17"/>
      <c r="C180" s="17"/>
      <c r="D180" s="17"/>
      <c r="E180" s="17"/>
      <c r="F180" s="36">
        <f>DiscMonth</f>
        <v>2.2632796417700884E-3</v>
      </c>
      <c r="G180" s="87">
        <f t="shared" ca="1" si="23"/>
        <v>0.66661631057319637</v>
      </c>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row>
    <row r="181" spans="1:32" ht="12.75" customHeight="1" x14ac:dyDescent="0.35">
      <c r="A181" s="17"/>
      <c r="B181" s="17"/>
      <c r="C181" s="17"/>
      <c r="D181" s="17"/>
      <c r="E181" s="17"/>
      <c r="F181" s="36">
        <f>F180*1.5</f>
        <v>3.3949194626551327E-3</v>
      </c>
      <c r="G181" s="87">
        <f t="shared" ca="1" si="23"/>
        <v>0.66661631057319637</v>
      </c>
      <c r="H181" s="17"/>
      <c r="I181" s="17"/>
      <c r="J181" s="17"/>
      <c r="K181" s="17"/>
      <c r="L181" s="17"/>
      <c r="M181" s="17"/>
      <c r="N181" s="17"/>
      <c r="O181" s="17"/>
      <c r="P181" s="17"/>
      <c r="Q181" s="17"/>
      <c r="R181" s="17"/>
      <c r="S181" s="17"/>
      <c r="T181" s="17"/>
      <c r="U181" s="17"/>
      <c r="V181" s="1196" t="s">
        <v>5525</v>
      </c>
      <c r="W181" s="1197" t="s">
        <v>5526</v>
      </c>
      <c r="X181" s="1197" t="s">
        <v>2242</v>
      </c>
      <c r="Y181" s="1198" t="s">
        <v>5527</v>
      </c>
      <c r="Z181" s="17"/>
      <c r="AA181" s="17"/>
      <c r="AB181" s="17"/>
      <c r="AC181" s="17"/>
      <c r="AD181" s="17"/>
      <c r="AE181" s="17"/>
      <c r="AF181" s="17"/>
    </row>
    <row r="182" spans="1:32" ht="12.75" customHeight="1" x14ac:dyDescent="0.35">
      <c r="A182" s="17"/>
      <c r="B182" s="17"/>
      <c r="C182" s="17"/>
      <c r="D182" s="17"/>
      <c r="E182" s="17"/>
      <c r="F182" s="36">
        <f>-F179</f>
        <v>-1.1316398208850442E-3</v>
      </c>
      <c r="G182" s="87">
        <f t="shared" ca="1" si="23"/>
        <v>0.66661631057319637</v>
      </c>
      <c r="H182" s="17"/>
      <c r="I182" s="17"/>
      <c r="J182" s="17"/>
      <c r="K182" s="17"/>
      <c r="L182" s="17"/>
      <c r="M182" s="17"/>
      <c r="N182" s="17"/>
      <c r="O182" s="17"/>
      <c r="P182" s="17"/>
      <c r="Q182" s="17"/>
      <c r="R182" s="17"/>
      <c r="S182" s="17"/>
      <c r="T182" s="17"/>
      <c r="U182" s="17"/>
      <c r="V182" s="1199" t="s">
        <v>948</v>
      </c>
      <c r="W182" s="1200">
        <v>1</v>
      </c>
      <c r="X182" s="1200">
        <v>1</v>
      </c>
      <c r="Y182" s="1201" t="s">
        <v>947</v>
      </c>
      <c r="Z182" s="17"/>
      <c r="AA182" s="17"/>
      <c r="AB182" s="17"/>
      <c r="AC182" s="17"/>
      <c r="AD182" s="17"/>
      <c r="AE182" s="17"/>
      <c r="AF182" s="17"/>
    </row>
    <row r="183" spans="1:32" ht="12.75" customHeight="1" x14ac:dyDescent="0.35">
      <c r="A183" s="17"/>
      <c r="B183" s="17"/>
      <c r="C183" s="17"/>
      <c r="D183" s="17"/>
      <c r="E183" s="17"/>
      <c r="F183" s="36">
        <f>-F180</f>
        <v>-2.2632796417700884E-3</v>
      </c>
      <c r="G183" s="87">
        <f t="shared" ca="1" si="23"/>
        <v>0.66661631057319637</v>
      </c>
      <c r="H183" s="17"/>
      <c r="I183" s="17"/>
      <c r="J183" s="17"/>
      <c r="K183" s="17"/>
      <c r="L183" s="17"/>
      <c r="M183" s="17"/>
      <c r="N183" s="17"/>
      <c r="O183" s="17"/>
      <c r="P183" s="17"/>
      <c r="Q183" s="17"/>
      <c r="R183" s="17"/>
      <c r="S183" s="17"/>
      <c r="T183" s="17"/>
      <c r="U183" s="17"/>
      <c r="V183" s="1202" t="s">
        <v>948</v>
      </c>
      <c r="W183" s="1203">
        <v>1</v>
      </c>
      <c r="X183" s="1203">
        <v>2</v>
      </c>
      <c r="Y183" s="1204" t="s">
        <v>5273</v>
      </c>
      <c r="Z183" s="17"/>
      <c r="AA183" s="17"/>
      <c r="AB183" s="17"/>
      <c r="AC183" s="17"/>
      <c r="AD183" s="17"/>
      <c r="AE183" s="17"/>
      <c r="AF183" s="17"/>
    </row>
    <row r="184" spans="1:32" ht="12.75" customHeight="1" x14ac:dyDescent="0.35">
      <c r="A184" s="17"/>
      <c r="B184" s="17"/>
      <c r="C184" s="17"/>
      <c r="D184" s="17"/>
      <c r="E184" s="17"/>
      <c r="F184" s="36">
        <f>-F181</f>
        <v>-3.3949194626551327E-3</v>
      </c>
      <c r="G184" s="87">
        <f t="shared" ca="1" si="23"/>
        <v>0.66661631057319637</v>
      </c>
      <c r="H184" s="17"/>
      <c r="I184" s="17"/>
      <c r="J184" s="17"/>
      <c r="K184" s="17"/>
      <c r="L184" s="17"/>
      <c r="M184" s="17"/>
      <c r="N184" s="17"/>
      <c r="O184" s="17"/>
      <c r="P184" s="17"/>
      <c r="Q184" s="17"/>
      <c r="R184" s="17"/>
      <c r="S184" s="17"/>
      <c r="T184" s="17"/>
      <c r="U184" s="17"/>
      <c r="V184" s="1202" t="s">
        <v>948</v>
      </c>
      <c r="W184" s="1203">
        <v>1</v>
      </c>
      <c r="X184" s="1203">
        <v>3</v>
      </c>
      <c r="Y184" s="1204" t="s">
        <v>5274</v>
      </c>
      <c r="Z184" s="17"/>
      <c r="AA184" s="17"/>
      <c r="AB184" s="17"/>
      <c r="AC184" s="17"/>
      <c r="AD184" s="17"/>
      <c r="AE184" s="17"/>
      <c r="AF184" s="17"/>
    </row>
    <row r="185" spans="1:32" ht="12.75" customHeight="1" x14ac:dyDescent="0.35">
      <c r="A185" s="17"/>
      <c r="B185" s="17"/>
      <c r="C185" s="17"/>
      <c r="D185" s="17"/>
      <c r="E185" s="17"/>
      <c r="F185" s="90">
        <v>-1</v>
      </c>
      <c r="G185" s="1249">
        <f ca="1">G186</f>
        <v>0.66661631057319637</v>
      </c>
      <c r="H185" s="17"/>
      <c r="I185" s="17"/>
      <c r="J185" s="17"/>
      <c r="K185" s="17"/>
      <c r="L185" s="17"/>
      <c r="M185" s="17"/>
      <c r="N185" s="17"/>
      <c r="O185" s="17"/>
      <c r="P185" s="17"/>
      <c r="Q185" s="17"/>
      <c r="R185" s="17"/>
      <c r="S185" s="17"/>
      <c r="T185" s="17"/>
      <c r="U185" s="17"/>
      <c r="V185" s="1202" t="s">
        <v>948</v>
      </c>
      <c r="W185" s="1203">
        <v>1</v>
      </c>
      <c r="X185" s="1203">
        <v>4</v>
      </c>
      <c r="Y185" s="1204" t="s">
        <v>5275</v>
      </c>
      <c r="Z185" s="17"/>
      <c r="AA185" s="17"/>
      <c r="AB185" s="17"/>
      <c r="AC185" s="17"/>
      <c r="AD185" s="17"/>
      <c r="AE185" s="17"/>
      <c r="AF185" s="17"/>
    </row>
    <row r="186" spans="1:32" ht="12.75" customHeight="1" x14ac:dyDescent="0.35">
      <c r="A186" s="17"/>
      <c r="B186" s="17"/>
      <c r="C186" s="17"/>
      <c r="D186" s="17"/>
      <c r="E186" s="17"/>
      <c r="F186" s="92">
        <v>-9.5462094216042792E-2</v>
      </c>
      <c r="G186" s="93">
        <f t="shared" ca="1" si="23"/>
        <v>0.66661631057319637</v>
      </c>
      <c r="H186" s="17"/>
      <c r="I186" s="17"/>
      <c r="J186" s="17"/>
      <c r="K186" s="17"/>
      <c r="L186" s="17"/>
      <c r="M186" s="17"/>
      <c r="N186" s="17"/>
      <c r="O186" s="17"/>
      <c r="P186" s="17"/>
      <c r="Q186" s="17"/>
      <c r="R186" s="17"/>
      <c r="S186" s="17"/>
      <c r="T186" s="17"/>
      <c r="U186" s="17"/>
      <c r="V186" s="1205" t="s">
        <v>948</v>
      </c>
      <c r="W186" s="1206">
        <v>1</v>
      </c>
      <c r="X186" s="1206">
        <v>5</v>
      </c>
      <c r="Y186" s="1207" t="s">
        <v>5276</v>
      </c>
      <c r="Z186" s="17"/>
      <c r="AA186" s="17"/>
      <c r="AB186" s="17"/>
      <c r="AC186" s="17"/>
      <c r="AD186" s="17"/>
      <c r="AE186" s="17"/>
      <c r="AF186" s="17"/>
    </row>
    <row r="187" spans="1:32" ht="12.75" customHeight="1" x14ac:dyDescent="0.35">
      <c r="A187" s="17"/>
      <c r="B187" s="17"/>
      <c r="C187" s="17"/>
      <c r="D187" s="17"/>
      <c r="E187" s="17"/>
      <c r="F187" s="92">
        <v>-4.1675471372851991E-2</v>
      </c>
      <c r="G187" s="1248">
        <f ca="1">G188</f>
        <v>0.66661631057319237</v>
      </c>
      <c r="H187" s="17"/>
      <c r="I187" s="17"/>
      <c r="J187" s="17"/>
      <c r="K187" s="17"/>
      <c r="L187" s="17"/>
      <c r="M187" s="17"/>
      <c r="N187" s="17"/>
      <c r="O187" s="17"/>
      <c r="P187" s="17"/>
      <c r="Q187" s="17"/>
      <c r="R187" s="17"/>
      <c r="S187" s="17"/>
      <c r="T187" s="17"/>
      <c r="U187" s="17"/>
      <c r="V187" s="1199" t="s">
        <v>961</v>
      </c>
      <c r="W187" s="1200">
        <v>2</v>
      </c>
      <c r="X187" s="1200">
        <v>1</v>
      </c>
      <c r="Y187" s="1201" t="s">
        <v>965</v>
      </c>
      <c r="Z187" s="17"/>
      <c r="AA187" s="17"/>
      <c r="AB187" s="17"/>
      <c r="AC187" s="17"/>
      <c r="AD187" s="17"/>
      <c r="AE187" s="17"/>
      <c r="AF187" s="17"/>
    </row>
    <row r="188" spans="1:32" ht="12.75" customHeight="1" x14ac:dyDescent="0.35">
      <c r="A188" s="17"/>
      <c r="B188" s="17"/>
      <c r="C188" s="17"/>
      <c r="D188" s="17"/>
      <c r="E188" s="17"/>
      <c r="F188" s="92">
        <v>-2.9285530376777613E-2</v>
      </c>
      <c r="G188" s="93">
        <f t="shared" ca="1" si="23"/>
        <v>0.66661631057319237</v>
      </c>
      <c r="H188" s="17"/>
      <c r="I188" s="17"/>
      <c r="J188" s="17"/>
      <c r="K188" s="17"/>
      <c r="L188" s="17"/>
      <c r="M188" s="17"/>
      <c r="N188" s="17"/>
      <c r="O188" s="17"/>
      <c r="P188" s="17"/>
      <c r="Q188" s="17"/>
      <c r="R188" s="17"/>
      <c r="S188" s="17"/>
      <c r="T188" s="17"/>
      <c r="U188" s="17"/>
      <c r="V188" s="1202" t="s">
        <v>961</v>
      </c>
      <c r="W188" s="1203">
        <v>2</v>
      </c>
      <c r="X188" s="1203">
        <v>2</v>
      </c>
      <c r="Y188" s="1204" t="s">
        <v>5213</v>
      </c>
      <c r="Z188" s="17"/>
      <c r="AA188" s="17"/>
      <c r="AB188" s="17"/>
      <c r="AC188" s="17"/>
      <c r="AD188" s="17"/>
      <c r="AE188" s="17"/>
      <c r="AF188" s="17"/>
    </row>
    <row r="189" spans="1:32" ht="12.75" customHeight="1" x14ac:dyDescent="0.35">
      <c r="A189" s="17"/>
      <c r="B189" s="17"/>
      <c r="C189" s="17"/>
      <c r="D189" s="17"/>
      <c r="E189" s="17"/>
      <c r="F189" s="92">
        <v>-1.8423470126248342E-2</v>
      </c>
      <c r="G189" s="1248">
        <f ca="1">G190</f>
        <v>0.66661631057319237</v>
      </c>
      <c r="H189" s="17"/>
      <c r="I189" s="17"/>
      <c r="J189" s="17"/>
      <c r="K189" s="17"/>
      <c r="L189" s="17"/>
      <c r="M189" s="17"/>
      <c r="N189" s="17"/>
      <c r="O189" s="17"/>
      <c r="P189" s="17"/>
      <c r="Q189" s="17"/>
      <c r="R189" s="17"/>
      <c r="S189" s="17"/>
      <c r="T189" s="17"/>
      <c r="U189" s="17"/>
      <c r="V189" s="1202" t="s">
        <v>961</v>
      </c>
      <c r="W189" s="1203">
        <v>2</v>
      </c>
      <c r="X189" s="1203">
        <v>3</v>
      </c>
      <c r="Y189" s="1204" t="s">
        <v>5216</v>
      </c>
      <c r="Z189" s="17"/>
      <c r="AA189" s="17"/>
      <c r="AB189" s="17"/>
      <c r="AC189" s="17"/>
      <c r="AD189" s="17"/>
      <c r="AE189" s="17"/>
      <c r="AF189" s="17"/>
    </row>
    <row r="190" spans="1:32" ht="12.75" customHeight="1" x14ac:dyDescent="0.35">
      <c r="A190" s="17"/>
      <c r="B190" s="17"/>
      <c r="C190" s="17"/>
      <c r="D190" s="17"/>
      <c r="E190" s="17"/>
      <c r="F190" s="92">
        <v>-8.7416109546967213E-3</v>
      </c>
      <c r="G190" s="93">
        <f t="shared" ca="1" si="23"/>
        <v>0.66661631057319237</v>
      </c>
      <c r="H190" s="17"/>
      <c r="I190" s="17"/>
      <c r="J190" s="17"/>
      <c r="K190" s="17"/>
      <c r="L190" s="17"/>
      <c r="M190" s="17"/>
      <c r="N190" s="17"/>
      <c r="O190" s="17"/>
      <c r="P190" s="17"/>
      <c r="Q190" s="17"/>
      <c r="R190" s="17"/>
      <c r="S190" s="17"/>
      <c r="T190" s="17"/>
      <c r="U190" s="17"/>
      <c r="V190" s="1202" t="s">
        <v>961</v>
      </c>
      <c r="W190" s="1203">
        <v>2</v>
      </c>
      <c r="X190" s="1203">
        <v>4</v>
      </c>
      <c r="Y190" s="1204" t="s">
        <v>5378</v>
      </c>
      <c r="Z190" s="17"/>
      <c r="AA190" s="17"/>
      <c r="AB190" s="17"/>
      <c r="AC190" s="17"/>
      <c r="AD190" s="17"/>
      <c r="AE190" s="17"/>
      <c r="AF190" s="17"/>
    </row>
    <row r="191" spans="1:32" ht="12.75" customHeight="1" x14ac:dyDescent="0.35">
      <c r="A191" s="17"/>
      <c r="B191" s="17"/>
      <c r="C191" s="17"/>
      <c r="D191" s="17"/>
      <c r="E191" s="17"/>
      <c r="F191" s="92">
        <v>-4.2653187775606449E-3</v>
      </c>
      <c r="G191" s="93">
        <f t="shared" ca="1" si="23"/>
        <v>0.66661631057319637</v>
      </c>
      <c r="H191" s="17"/>
      <c r="I191" s="17"/>
      <c r="J191" s="17"/>
      <c r="K191" s="17"/>
      <c r="L191" s="17"/>
      <c r="M191" s="17"/>
      <c r="N191" s="17"/>
      <c r="O191" s="17"/>
      <c r="P191" s="17"/>
      <c r="Q191" s="17"/>
      <c r="R191" s="17"/>
      <c r="S191" s="17"/>
      <c r="T191" s="17"/>
      <c r="U191" s="17"/>
      <c r="V191" s="1205" t="s">
        <v>961</v>
      </c>
      <c r="W191" s="1206">
        <v>2</v>
      </c>
      <c r="X191" s="1206">
        <v>5</v>
      </c>
      <c r="Y191" s="1207" t="s">
        <v>5264</v>
      </c>
      <c r="Z191" s="17"/>
      <c r="AA191" s="17"/>
      <c r="AB191" s="17"/>
      <c r="AC191" s="17"/>
      <c r="AD191" s="17"/>
      <c r="AE191" s="17"/>
      <c r="AF191" s="17"/>
    </row>
    <row r="192" spans="1:32" ht="12.75" customHeight="1" x14ac:dyDescent="0.35">
      <c r="A192" s="17"/>
      <c r="B192" s="17"/>
      <c r="C192" s="17"/>
      <c r="D192" s="17"/>
      <c r="E192" s="17"/>
      <c r="F192" s="92">
        <v>1</v>
      </c>
      <c r="G192" s="93">
        <f t="shared" ca="1" si="23"/>
        <v>0.66661631057319237</v>
      </c>
      <c r="H192" s="17"/>
      <c r="I192" s="17"/>
      <c r="J192" s="17"/>
      <c r="K192" s="17"/>
      <c r="L192" s="17"/>
      <c r="M192" s="17"/>
      <c r="N192" s="17"/>
      <c r="O192" s="17"/>
      <c r="P192" s="17"/>
      <c r="Q192" s="17"/>
      <c r="R192" s="17"/>
      <c r="S192" s="17"/>
      <c r="T192" s="17"/>
      <c r="U192" s="17"/>
      <c r="V192" s="1199" t="s">
        <v>971</v>
      </c>
      <c r="W192" s="1200">
        <v>3</v>
      </c>
      <c r="X192" s="1200">
        <v>1</v>
      </c>
      <c r="Y192" s="1201" t="s">
        <v>970</v>
      </c>
      <c r="Z192" s="17"/>
      <c r="AA192" s="17"/>
      <c r="AB192" s="17"/>
      <c r="AC192" s="17"/>
      <c r="AD192" s="17"/>
      <c r="AE192" s="17"/>
      <c r="AF192" s="17"/>
    </row>
    <row r="193" spans="1:32" ht="12.75" customHeight="1" x14ac:dyDescent="0.35">
      <c r="A193" s="17"/>
      <c r="B193" s="17"/>
      <c r="C193" s="17"/>
      <c r="D193" s="17"/>
      <c r="E193" s="17"/>
      <c r="F193" s="92">
        <v>9.5872691135244326E-2</v>
      </c>
      <c r="G193" s="93">
        <f t="shared" ca="1" si="23"/>
        <v>0.66661631057319637</v>
      </c>
      <c r="H193" s="17"/>
      <c r="I193" s="17"/>
      <c r="J193" s="17"/>
      <c r="K193" s="17"/>
      <c r="L193" s="17"/>
      <c r="M193" s="17"/>
      <c r="N193" s="17"/>
      <c r="O193" s="17"/>
      <c r="P193" s="17"/>
      <c r="Q193" s="17"/>
      <c r="R193" s="17"/>
      <c r="S193" s="17"/>
      <c r="T193" s="17"/>
      <c r="U193" s="17"/>
      <c r="V193" s="1202" t="s">
        <v>971</v>
      </c>
      <c r="W193" s="1203">
        <v>3</v>
      </c>
      <c r="X193" s="1203">
        <v>2</v>
      </c>
      <c r="Y193" s="1204" t="s">
        <v>5289</v>
      </c>
      <c r="Z193" s="17"/>
      <c r="AA193" s="17"/>
      <c r="AB193" s="17"/>
      <c r="AC193" s="17"/>
      <c r="AD193" s="17"/>
      <c r="AE193" s="17"/>
      <c r="AF193" s="17"/>
    </row>
    <row r="194" spans="1:32" ht="12.75" customHeight="1" x14ac:dyDescent="0.35">
      <c r="A194" s="17"/>
      <c r="B194" s="17"/>
      <c r="C194" s="17"/>
      <c r="D194" s="17"/>
      <c r="E194" s="17"/>
      <c r="F194" s="92">
        <v>5.946309435929531E-2</v>
      </c>
      <c r="G194" s="1248">
        <f ca="1">G195</f>
        <v>0.66661631057319637</v>
      </c>
      <c r="H194" s="17"/>
      <c r="I194" s="17"/>
      <c r="J194" s="17"/>
      <c r="K194" s="17"/>
      <c r="L194" s="17"/>
      <c r="M194" s="17"/>
      <c r="N194" s="17"/>
      <c r="O194" s="17"/>
      <c r="P194" s="17"/>
      <c r="Q194" s="17"/>
      <c r="R194" s="17"/>
      <c r="S194" s="17"/>
      <c r="T194" s="17"/>
      <c r="U194" s="17"/>
      <c r="V194" s="1202" t="s">
        <v>971</v>
      </c>
      <c r="W194" s="1203">
        <v>3</v>
      </c>
      <c r="X194" s="1203">
        <v>3</v>
      </c>
      <c r="Y194" s="1204" t="s">
        <v>5291</v>
      </c>
      <c r="Z194" s="17"/>
      <c r="AA194" s="17"/>
      <c r="AB194" s="17"/>
      <c r="AC194" s="17"/>
      <c r="AD194" s="17"/>
      <c r="AE194" s="17"/>
      <c r="AF194" s="17"/>
    </row>
    <row r="195" spans="1:32" ht="12.75" customHeight="1" x14ac:dyDescent="0.35">
      <c r="A195" s="17"/>
      <c r="B195" s="17"/>
      <c r="C195" s="17"/>
      <c r="D195" s="17"/>
      <c r="E195" s="17"/>
      <c r="F195" s="92">
        <v>4.521125295294337E-2</v>
      </c>
      <c r="G195" s="93">
        <f t="shared" ca="1" si="23"/>
        <v>0.66661631057319637</v>
      </c>
      <c r="H195" s="17"/>
      <c r="I195" s="17"/>
      <c r="J195" s="17"/>
      <c r="K195" s="17"/>
      <c r="L195" s="17"/>
      <c r="M195" s="17"/>
      <c r="N195" s="17"/>
      <c r="O195" s="17"/>
      <c r="P195" s="17"/>
      <c r="Q195" s="17"/>
      <c r="R195" s="17"/>
      <c r="S195" s="17"/>
      <c r="T195" s="17"/>
      <c r="U195" s="17"/>
      <c r="V195" s="1202" t="s">
        <v>971</v>
      </c>
      <c r="W195" s="1203">
        <v>3</v>
      </c>
      <c r="X195" s="1203">
        <v>4</v>
      </c>
      <c r="Y195" s="1204" t="s">
        <v>5293</v>
      </c>
      <c r="Z195" s="17"/>
      <c r="AA195" s="17"/>
      <c r="AB195" s="17"/>
      <c r="AC195" s="17"/>
      <c r="AD195" s="17"/>
      <c r="AE195" s="17"/>
      <c r="AF195" s="17"/>
    </row>
    <row r="196" spans="1:32" ht="12.75" customHeight="1" x14ac:dyDescent="0.35">
      <c r="A196" s="17"/>
      <c r="B196" s="17"/>
      <c r="C196" s="17"/>
      <c r="D196" s="17"/>
      <c r="E196" s="17"/>
      <c r="F196" s="92">
        <v>2.8436155726361267E-2</v>
      </c>
      <c r="G196" s="1248">
        <f ca="1">G197</f>
        <v>0.66661631057319237</v>
      </c>
      <c r="H196" s="17"/>
      <c r="I196" s="17"/>
      <c r="J196" s="17"/>
      <c r="K196" s="17"/>
      <c r="L196" s="17"/>
      <c r="M196" s="17"/>
      <c r="N196" s="17"/>
      <c r="O196" s="17"/>
      <c r="P196" s="17"/>
      <c r="Q196" s="17"/>
      <c r="R196" s="17"/>
      <c r="S196" s="17"/>
      <c r="T196" s="17"/>
      <c r="U196" s="17"/>
      <c r="V196" s="1205" t="s">
        <v>971</v>
      </c>
      <c r="W196" s="1206">
        <v>3</v>
      </c>
      <c r="X196" s="1206">
        <v>5</v>
      </c>
      <c r="Y196" s="1207" t="s">
        <v>5295</v>
      </c>
      <c r="Z196" s="17"/>
      <c r="AA196" s="17"/>
      <c r="AB196" s="17"/>
      <c r="AC196" s="17"/>
      <c r="AD196" s="17"/>
      <c r="AE196" s="17"/>
      <c r="AF196" s="17"/>
    </row>
    <row r="197" spans="1:32" ht="12.75" customHeight="1" x14ac:dyDescent="0.35">
      <c r="A197" s="17"/>
      <c r="B197" s="17"/>
      <c r="C197" s="17"/>
      <c r="D197" s="17"/>
      <c r="E197" s="17"/>
      <c r="F197" s="92">
        <v>1.5309470499731193E-2</v>
      </c>
      <c r="G197" s="93">
        <f t="shared" ca="1" si="23"/>
        <v>0.66661631057319237</v>
      </c>
      <c r="H197" s="17"/>
      <c r="I197" s="17"/>
      <c r="J197" s="17"/>
      <c r="K197" s="17"/>
      <c r="L197" s="17"/>
      <c r="M197" s="17"/>
      <c r="N197" s="17"/>
      <c r="O197" s="17"/>
      <c r="P197" s="17"/>
      <c r="Q197" s="17"/>
      <c r="R197" s="17"/>
      <c r="S197" s="17"/>
      <c r="T197" s="17"/>
      <c r="U197" s="17"/>
      <c r="V197" s="1208" t="s">
        <v>704</v>
      </c>
      <c r="W197" s="1209"/>
      <c r="X197" s="1209"/>
      <c r="Y197" s="1198" t="s">
        <v>5528</v>
      </c>
      <c r="Z197" s="17"/>
      <c r="AA197" s="17"/>
      <c r="AB197" s="17"/>
      <c r="AC197" s="17"/>
      <c r="AD197" s="17"/>
      <c r="AE197" s="17"/>
      <c r="AF197" s="17"/>
    </row>
    <row r="198" spans="1:32" ht="12.75" customHeight="1" x14ac:dyDescent="0.35">
      <c r="A198" s="17"/>
      <c r="B198" s="17"/>
      <c r="C198" s="17"/>
      <c r="D198" s="17"/>
      <c r="E198" s="17"/>
      <c r="F198" s="92">
        <v>7.9741404289037643E-3</v>
      </c>
      <c r="G198" s="1248">
        <f ca="1">G199</f>
        <v>0.66661631057319637</v>
      </c>
      <c r="H198" s="17"/>
      <c r="I198" s="17"/>
      <c r="J198" s="17"/>
      <c r="K198" s="17"/>
      <c r="L198" s="17"/>
      <c r="M198" s="17"/>
      <c r="N198" s="17"/>
      <c r="O198" s="17"/>
      <c r="P198" s="17"/>
      <c r="Q198" s="17"/>
      <c r="R198" s="17"/>
      <c r="S198" s="17"/>
      <c r="T198" s="17"/>
      <c r="U198" s="17"/>
      <c r="V198" s="1199" t="s">
        <v>948</v>
      </c>
      <c r="W198" s="1200">
        <v>1</v>
      </c>
      <c r="X198" s="1200">
        <v>1</v>
      </c>
      <c r="Y198" s="1201" t="s">
        <v>949</v>
      </c>
      <c r="Z198" s="17"/>
      <c r="AA198" s="17"/>
      <c r="AB198" s="17"/>
      <c r="AC198" s="17"/>
      <c r="AD198" s="17"/>
      <c r="AE198" s="17"/>
      <c r="AF198" s="17"/>
    </row>
    <row r="199" spans="1:32" ht="12.75" customHeight="1" x14ac:dyDescent="0.35">
      <c r="A199" s="17"/>
      <c r="B199" s="17"/>
      <c r="C199" s="17"/>
      <c r="D199" s="17"/>
      <c r="E199" s="17"/>
      <c r="F199" s="92">
        <v>4.0741237836483535E-3</v>
      </c>
      <c r="G199" s="93">
        <f t="shared" ca="1" si="23"/>
        <v>0.66661631057319637</v>
      </c>
      <c r="H199" s="17"/>
      <c r="I199" s="17"/>
      <c r="J199" s="17"/>
      <c r="K199" s="17"/>
      <c r="L199" s="17"/>
      <c r="M199" s="17"/>
      <c r="N199" s="17"/>
      <c r="O199" s="17"/>
      <c r="P199" s="17"/>
      <c r="Q199" s="17"/>
      <c r="R199" s="17"/>
      <c r="S199" s="17"/>
      <c r="T199" s="17"/>
      <c r="U199" s="17"/>
      <c r="V199" s="1202" t="s">
        <v>948</v>
      </c>
      <c r="W199" s="1203">
        <v>1</v>
      </c>
      <c r="X199" s="1203">
        <v>2</v>
      </c>
      <c r="Y199" s="1204" t="s">
        <v>5277</v>
      </c>
      <c r="Z199" s="17"/>
      <c r="AA199" s="17"/>
      <c r="AB199" s="17"/>
      <c r="AC199" s="17"/>
      <c r="AD199" s="17"/>
      <c r="AE199" s="17"/>
      <c r="AF199" s="17"/>
    </row>
    <row r="200" spans="1:32" ht="12.75" customHeight="1" x14ac:dyDescent="0.35">
      <c r="A200" s="17"/>
      <c r="B200" s="17"/>
      <c r="C200" s="17"/>
      <c r="D200" s="17"/>
      <c r="E200" s="17"/>
      <c r="F200" s="94">
        <v>2.0598362698427408E-3</v>
      </c>
      <c r="G200" s="95">
        <f t="shared" ca="1" si="23"/>
        <v>0.66661631057318771</v>
      </c>
      <c r="H200" s="17"/>
      <c r="I200" s="17"/>
      <c r="J200" s="17"/>
      <c r="K200" s="17"/>
      <c r="L200" s="17"/>
      <c r="M200" s="17"/>
      <c r="N200" s="17"/>
      <c r="O200" s="17"/>
      <c r="P200" s="17"/>
      <c r="Q200" s="17"/>
      <c r="R200" s="17"/>
      <c r="S200" s="17"/>
      <c r="T200" s="17"/>
      <c r="U200" s="17"/>
      <c r="V200" s="1202" t="s">
        <v>948</v>
      </c>
      <c r="W200" s="1203">
        <v>1</v>
      </c>
      <c r="X200" s="1203">
        <v>3</v>
      </c>
      <c r="Y200" s="1204" t="s">
        <v>5278</v>
      </c>
      <c r="Z200" s="17"/>
      <c r="AA200" s="17"/>
      <c r="AB200" s="17"/>
      <c r="AC200" s="17"/>
      <c r="AD200" s="17"/>
      <c r="AE200" s="17"/>
      <c r="AF200" s="17"/>
    </row>
    <row r="201" spans="1:32" ht="12.75" customHeight="1" x14ac:dyDescent="0.35">
      <c r="A201" s="17"/>
      <c r="B201" s="17"/>
      <c r="C201" s="17"/>
      <c r="D201" s="17"/>
      <c r="E201" s="17"/>
      <c r="F201" s="17"/>
      <c r="G201" s="21">
        <f ca="1">MATCH(1,G202:G223,0)</f>
        <v>1</v>
      </c>
      <c r="H201" s="17"/>
      <c r="I201" s="17"/>
      <c r="J201" s="17"/>
      <c r="K201" s="17"/>
      <c r="L201" s="17"/>
      <c r="M201" s="17"/>
      <c r="N201" s="17"/>
      <c r="O201" s="17"/>
      <c r="P201" s="17"/>
      <c r="Q201" s="17"/>
      <c r="R201" s="17"/>
      <c r="S201" s="17"/>
      <c r="T201" s="17"/>
      <c r="U201" s="17"/>
      <c r="V201" s="1202" t="s">
        <v>948</v>
      </c>
      <c r="W201" s="1203">
        <v>1</v>
      </c>
      <c r="X201" s="1203">
        <v>4</v>
      </c>
      <c r="Y201" s="1204" t="s">
        <v>5279</v>
      </c>
      <c r="Z201" s="17"/>
      <c r="AA201" s="17"/>
      <c r="AB201" s="17"/>
      <c r="AC201" s="17"/>
      <c r="AD201" s="17"/>
      <c r="AE201" s="17"/>
      <c r="AF201" s="17"/>
    </row>
    <row r="202" spans="1:32" ht="12.75" customHeight="1" x14ac:dyDescent="0.35">
      <c r="A202" s="17"/>
      <c r="B202" s="17"/>
      <c r="C202" s="17"/>
      <c r="D202" s="17"/>
      <c r="E202" s="17"/>
      <c r="F202" s="29">
        <f t="shared" ref="F202:F223" ca="1" si="24">IF(G202=1,G179,$G$178)</f>
        <v>0.66661631057319237</v>
      </c>
      <c r="G202" s="91">
        <f t="shared" ref="G202:G223" ca="1" si="25">IF(ISERROR(G179),0,1)</f>
        <v>1</v>
      </c>
      <c r="H202" s="17"/>
      <c r="I202" s="17"/>
      <c r="J202" s="17"/>
      <c r="K202" s="17"/>
      <c r="L202" s="17"/>
      <c r="M202" s="17"/>
      <c r="N202" s="17"/>
      <c r="O202" s="17"/>
      <c r="P202" s="17"/>
      <c r="Q202" s="17"/>
      <c r="R202" s="17"/>
      <c r="S202" s="17"/>
      <c r="T202" s="17"/>
      <c r="U202" s="17"/>
      <c r="V202" s="1205" t="s">
        <v>948</v>
      </c>
      <c r="W202" s="1206">
        <v>1</v>
      </c>
      <c r="X202" s="1206">
        <v>5</v>
      </c>
      <c r="Y202" s="1207" t="s">
        <v>5280</v>
      </c>
      <c r="Z202" s="17"/>
      <c r="AA202" s="17"/>
      <c r="AB202" s="17"/>
      <c r="AC202" s="17"/>
      <c r="AD202" s="17"/>
      <c r="AE202" s="17"/>
      <c r="AF202" s="17"/>
    </row>
    <row r="203" spans="1:32" ht="12.75" customHeight="1" x14ac:dyDescent="0.35">
      <c r="A203" s="17"/>
      <c r="B203" s="17"/>
      <c r="C203" s="17"/>
      <c r="D203" s="17"/>
      <c r="E203" s="17"/>
      <c r="F203" s="36">
        <f t="shared" ca="1" si="24"/>
        <v>0.66661631057319637</v>
      </c>
      <c r="G203" s="93">
        <f t="shared" ca="1" si="25"/>
        <v>1</v>
      </c>
      <c r="H203" s="17"/>
      <c r="I203" s="17"/>
      <c r="J203" s="17"/>
      <c r="K203" s="17"/>
      <c r="L203" s="17"/>
      <c r="M203" s="17"/>
      <c r="N203" s="17"/>
      <c r="O203" s="17"/>
      <c r="P203" s="17"/>
      <c r="Q203" s="17"/>
      <c r="R203" s="17"/>
      <c r="S203" s="17"/>
      <c r="T203" s="17"/>
      <c r="U203" s="17"/>
      <c r="V203" s="1199" t="s">
        <v>961</v>
      </c>
      <c r="W203" s="1200">
        <v>2</v>
      </c>
      <c r="X203" s="1200">
        <v>1</v>
      </c>
      <c r="Y203" s="1201" t="s">
        <v>964</v>
      </c>
      <c r="Z203" s="17"/>
      <c r="AA203" s="17"/>
      <c r="AB203" s="17"/>
      <c r="AC203" s="17"/>
      <c r="AD203" s="17"/>
      <c r="AE203" s="17"/>
      <c r="AF203" s="17"/>
    </row>
    <row r="204" spans="1:32" ht="12.75" customHeight="1" x14ac:dyDescent="0.35">
      <c r="A204" s="17"/>
      <c r="B204" s="17"/>
      <c r="C204" s="17"/>
      <c r="D204" s="17"/>
      <c r="E204" s="17"/>
      <c r="F204" s="36">
        <f t="shared" ca="1" si="24"/>
        <v>0.66661631057319637</v>
      </c>
      <c r="G204" s="93">
        <f t="shared" ca="1" si="25"/>
        <v>1</v>
      </c>
      <c r="H204" s="17"/>
      <c r="I204" s="17"/>
      <c r="J204" s="17"/>
      <c r="K204" s="17"/>
      <c r="L204" s="17"/>
      <c r="M204" s="17"/>
      <c r="N204" s="17"/>
      <c r="O204" s="17"/>
      <c r="P204" s="17"/>
      <c r="Q204" s="17"/>
      <c r="R204" s="17"/>
      <c r="S204" s="17"/>
      <c r="T204" s="17"/>
      <c r="U204" s="17"/>
      <c r="V204" s="1202" t="s">
        <v>961</v>
      </c>
      <c r="W204" s="1203">
        <v>2</v>
      </c>
      <c r="X204" s="1203">
        <v>2</v>
      </c>
      <c r="Y204" s="1204" t="s">
        <v>5212</v>
      </c>
      <c r="Z204" s="17"/>
      <c r="AA204" s="17"/>
      <c r="AB204" s="17"/>
      <c r="AC204" s="17"/>
      <c r="AD204" s="17"/>
      <c r="AE204" s="17"/>
      <c r="AF204" s="17"/>
    </row>
    <row r="205" spans="1:32" ht="12.75" customHeight="1" x14ac:dyDescent="0.35">
      <c r="A205" s="17"/>
      <c r="B205" s="17"/>
      <c r="C205" s="17"/>
      <c r="D205" s="17"/>
      <c r="E205" s="17"/>
      <c r="F205" s="36">
        <f t="shared" ca="1" si="24"/>
        <v>0.66661631057319637</v>
      </c>
      <c r="G205" s="93">
        <f t="shared" ca="1" si="25"/>
        <v>1</v>
      </c>
      <c r="H205" s="17"/>
      <c r="I205" s="17"/>
      <c r="J205" s="17"/>
      <c r="K205" s="17"/>
      <c r="L205" s="17"/>
      <c r="M205" s="17"/>
      <c r="N205" s="17"/>
      <c r="O205" s="17"/>
      <c r="P205" s="17"/>
      <c r="Q205" s="17"/>
      <c r="R205" s="17"/>
      <c r="S205" s="17"/>
      <c r="T205" s="17"/>
      <c r="U205" s="17"/>
      <c r="V205" s="1202" t="s">
        <v>961</v>
      </c>
      <c r="W205" s="1203">
        <v>2</v>
      </c>
      <c r="X205" s="1203">
        <v>3</v>
      </c>
      <c r="Y205" s="1204" t="s">
        <v>5215</v>
      </c>
      <c r="Z205" s="17"/>
      <c r="AA205" s="17"/>
      <c r="AB205" s="17"/>
      <c r="AC205" s="17"/>
      <c r="AD205" s="17"/>
      <c r="AE205" s="17"/>
      <c r="AF205" s="17"/>
    </row>
    <row r="206" spans="1:32" ht="12.75" customHeight="1" x14ac:dyDescent="0.35">
      <c r="A206" s="17"/>
      <c r="B206" s="17"/>
      <c r="C206" s="17"/>
      <c r="D206" s="17"/>
      <c r="E206" s="17"/>
      <c r="F206" s="36">
        <f t="shared" ca="1" si="24"/>
        <v>0.66661631057319637</v>
      </c>
      <c r="G206" s="93">
        <f t="shared" ca="1" si="25"/>
        <v>1</v>
      </c>
      <c r="H206" s="17"/>
      <c r="I206" s="17"/>
      <c r="J206" s="17"/>
      <c r="K206" s="17"/>
      <c r="L206" s="17"/>
      <c r="M206" s="17"/>
      <c r="N206" s="17"/>
      <c r="O206" s="17"/>
      <c r="P206" s="17"/>
      <c r="Q206" s="17"/>
      <c r="R206" s="17"/>
      <c r="S206" s="17"/>
      <c r="T206" s="17"/>
      <c r="U206" s="17"/>
      <c r="V206" s="1202" t="s">
        <v>961</v>
      </c>
      <c r="W206" s="1203">
        <v>2</v>
      </c>
      <c r="X206" s="1203">
        <v>4</v>
      </c>
      <c r="Y206" s="1204" t="s">
        <v>5218</v>
      </c>
      <c r="Z206" s="17"/>
      <c r="AA206" s="17"/>
      <c r="AB206" s="17"/>
      <c r="AC206" s="17"/>
      <c r="AD206" s="17"/>
      <c r="AE206" s="17"/>
      <c r="AF206" s="17"/>
    </row>
    <row r="207" spans="1:32" ht="12.75" customHeight="1" x14ac:dyDescent="0.35">
      <c r="A207" s="17"/>
      <c r="B207" s="17"/>
      <c r="C207" s="17"/>
      <c r="D207" s="17"/>
      <c r="E207" s="17"/>
      <c r="F207" s="36">
        <f t="shared" ca="1" si="24"/>
        <v>0.66661631057319637</v>
      </c>
      <c r="G207" s="93">
        <f t="shared" ca="1" si="25"/>
        <v>1</v>
      </c>
      <c r="H207" s="17"/>
      <c r="I207" s="17"/>
      <c r="J207" s="17"/>
      <c r="K207" s="17"/>
      <c r="L207" s="17"/>
      <c r="M207" s="17"/>
      <c r="N207" s="17"/>
      <c r="O207" s="17"/>
      <c r="P207" s="17"/>
      <c r="Q207" s="17"/>
      <c r="R207" s="17"/>
      <c r="S207" s="17"/>
      <c r="T207" s="17"/>
      <c r="U207" s="17"/>
      <c r="V207" s="1205" t="s">
        <v>961</v>
      </c>
      <c r="W207" s="1206">
        <v>2</v>
      </c>
      <c r="X207" s="1206">
        <v>5</v>
      </c>
      <c r="Y207" s="1207" t="s">
        <v>5263</v>
      </c>
      <c r="Z207" s="17"/>
      <c r="AA207" s="17"/>
      <c r="AB207" s="17"/>
      <c r="AC207" s="17"/>
      <c r="AD207" s="17"/>
      <c r="AE207" s="17"/>
      <c r="AF207" s="17"/>
    </row>
    <row r="208" spans="1:32" ht="12.75" customHeight="1" x14ac:dyDescent="0.35">
      <c r="A208" s="17"/>
      <c r="B208" s="17"/>
      <c r="C208" s="17"/>
      <c r="D208" s="17"/>
      <c r="E208" s="17"/>
      <c r="F208" s="29">
        <f t="shared" ca="1" si="24"/>
        <v>0.66661631057319237</v>
      </c>
      <c r="G208" s="1249">
        <v>0</v>
      </c>
      <c r="H208" s="17"/>
      <c r="I208" s="17"/>
      <c r="J208" s="17"/>
      <c r="K208" s="17"/>
      <c r="L208" s="17"/>
      <c r="M208" s="17"/>
      <c r="N208" s="17"/>
      <c r="O208" s="17"/>
      <c r="P208" s="17"/>
      <c r="Q208" s="17"/>
      <c r="R208" s="17"/>
      <c r="S208" s="17"/>
      <c r="T208" s="17"/>
      <c r="U208" s="17"/>
      <c r="V208" s="1199" t="s">
        <v>971</v>
      </c>
      <c r="W208" s="1200">
        <v>3</v>
      </c>
      <c r="X208" s="1200">
        <v>1</v>
      </c>
      <c r="Y208" s="1201" t="s">
        <v>972</v>
      </c>
      <c r="Z208" s="17"/>
      <c r="AA208" s="17"/>
      <c r="AB208" s="17"/>
      <c r="AC208" s="17"/>
      <c r="AD208" s="17"/>
      <c r="AE208" s="17"/>
      <c r="AF208" s="17"/>
    </row>
    <row r="209" spans="1:32" ht="12.75" customHeight="1" x14ac:dyDescent="0.35">
      <c r="A209" s="17"/>
      <c r="B209" s="17"/>
      <c r="C209" s="17"/>
      <c r="D209" s="17"/>
      <c r="E209" s="17"/>
      <c r="F209" s="36">
        <f t="shared" ca="1" si="24"/>
        <v>0.66661631057319637</v>
      </c>
      <c r="G209" s="93">
        <f t="shared" ca="1" si="25"/>
        <v>1</v>
      </c>
      <c r="H209" s="17"/>
      <c r="I209" s="17"/>
      <c r="J209" s="17"/>
      <c r="K209" s="17"/>
      <c r="L209" s="17"/>
      <c r="M209" s="17"/>
      <c r="N209" s="17"/>
      <c r="O209" s="17"/>
      <c r="P209" s="17"/>
      <c r="Q209" s="17"/>
      <c r="R209" s="17"/>
      <c r="S209" s="17"/>
      <c r="T209" s="17"/>
      <c r="U209" s="17"/>
      <c r="V209" s="1202" t="s">
        <v>971</v>
      </c>
      <c r="W209" s="1203">
        <v>3</v>
      </c>
      <c r="X209" s="1203">
        <v>2</v>
      </c>
      <c r="Y209" s="1204" t="s">
        <v>5290</v>
      </c>
      <c r="Z209" s="17"/>
      <c r="AA209" s="17"/>
      <c r="AB209" s="17"/>
      <c r="AC209" s="17"/>
      <c r="AD209" s="17"/>
      <c r="AE209" s="17"/>
      <c r="AF209" s="17"/>
    </row>
    <row r="210" spans="1:32" ht="12.75" customHeight="1" x14ac:dyDescent="0.35">
      <c r="A210" s="17"/>
      <c r="B210" s="17"/>
      <c r="C210" s="17"/>
      <c r="D210" s="17"/>
      <c r="E210" s="17"/>
      <c r="F210" s="36">
        <f t="shared" ca="1" si="24"/>
        <v>0.66661631057319237</v>
      </c>
      <c r="G210" s="1248">
        <v>0</v>
      </c>
      <c r="H210" s="17"/>
      <c r="I210" s="17"/>
      <c r="J210" s="17"/>
      <c r="K210" s="17"/>
      <c r="L210" s="17"/>
      <c r="M210" s="17"/>
      <c r="N210" s="17"/>
      <c r="O210" s="17"/>
      <c r="P210" s="17"/>
      <c r="Q210" s="17"/>
      <c r="R210" s="17"/>
      <c r="S210" s="17"/>
      <c r="T210" s="17"/>
      <c r="U210" s="17"/>
      <c r="V210" s="1202" t="s">
        <v>971</v>
      </c>
      <c r="W210" s="1203">
        <v>3</v>
      </c>
      <c r="X210" s="1203">
        <v>3</v>
      </c>
      <c r="Y210" s="1204" t="s">
        <v>5292</v>
      </c>
      <c r="Z210" s="17"/>
      <c r="AA210" s="17"/>
      <c r="AB210" s="17"/>
      <c r="AC210" s="17"/>
      <c r="AD210" s="17"/>
      <c r="AE210" s="17"/>
      <c r="AF210" s="17"/>
    </row>
    <row r="211" spans="1:32" ht="12.75" customHeight="1" x14ac:dyDescent="0.35">
      <c r="A211" s="17"/>
      <c r="B211" s="17"/>
      <c r="C211" s="17"/>
      <c r="D211" s="17"/>
      <c r="E211" s="17"/>
      <c r="F211" s="36">
        <f t="shared" ca="1" si="24"/>
        <v>0.66661631057319237</v>
      </c>
      <c r="G211" s="93">
        <f t="shared" ca="1" si="25"/>
        <v>1</v>
      </c>
      <c r="H211" s="17"/>
      <c r="I211" s="17"/>
      <c r="J211" s="17"/>
      <c r="K211" s="17"/>
      <c r="L211" s="17"/>
      <c r="M211" s="17"/>
      <c r="N211" s="17"/>
      <c r="O211" s="17"/>
      <c r="P211" s="17"/>
      <c r="Q211" s="17"/>
      <c r="R211" s="17"/>
      <c r="S211" s="17"/>
      <c r="T211" s="17"/>
      <c r="U211" s="17"/>
      <c r="V211" s="1202" t="s">
        <v>971</v>
      </c>
      <c r="W211" s="1203">
        <v>3</v>
      </c>
      <c r="X211" s="1203">
        <v>4</v>
      </c>
      <c r="Y211" s="1204" t="s">
        <v>5294</v>
      </c>
      <c r="Z211" s="17"/>
      <c r="AA211" s="17"/>
      <c r="AB211" s="17"/>
      <c r="AC211" s="17"/>
      <c r="AD211" s="17"/>
      <c r="AE211" s="17"/>
      <c r="AF211" s="17"/>
    </row>
    <row r="212" spans="1:32" ht="12.75" customHeight="1" x14ac:dyDescent="0.35">
      <c r="A212" s="17"/>
      <c r="B212" s="17"/>
      <c r="C212" s="17"/>
      <c r="D212" s="17"/>
      <c r="E212" s="17"/>
      <c r="F212" s="36">
        <f t="shared" ca="1" si="24"/>
        <v>0.66661631057319237</v>
      </c>
      <c r="G212" s="1248">
        <v>0</v>
      </c>
      <c r="H212" s="17"/>
      <c r="I212" s="17"/>
      <c r="J212" s="17"/>
      <c r="K212" s="17"/>
      <c r="L212" s="17"/>
      <c r="M212" s="17"/>
      <c r="N212" s="17"/>
      <c r="O212" s="17"/>
      <c r="P212" s="17"/>
      <c r="Q212" s="17"/>
      <c r="R212" s="17"/>
      <c r="S212" s="17"/>
      <c r="T212" s="17"/>
      <c r="U212" s="17"/>
      <c r="V212" s="1205" t="s">
        <v>971</v>
      </c>
      <c r="W212" s="1206">
        <v>3</v>
      </c>
      <c r="X212" s="1206">
        <v>5</v>
      </c>
      <c r="Y212" s="1207" t="s">
        <v>5296</v>
      </c>
      <c r="Z212" s="17"/>
      <c r="AA212" s="17"/>
      <c r="AB212" s="17"/>
      <c r="AC212" s="17"/>
      <c r="AD212" s="17"/>
      <c r="AE212" s="17"/>
      <c r="AF212" s="17"/>
    </row>
    <row r="213" spans="1:32" ht="12.75" customHeight="1" x14ac:dyDescent="0.35">
      <c r="A213" s="17"/>
      <c r="B213" s="17"/>
      <c r="C213" s="17"/>
      <c r="D213" s="17"/>
      <c r="E213" s="17"/>
      <c r="F213" s="36">
        <f t="shared" ca="1" si="24"/>
        <v>0.66661631057319237</v>
      </c>
      <c r="G213" s="93">
        <f t="shared" ca="1" si="25"/>
        <v>1</v>
      </c>
      <c r="H213" s="17"/>
      <c r="I213" s="17"/>
      <c r="J213" s="17"/>
      <c r="K213" s="17"/>
      <c r="L213" s="17"/>
      <c r="M213" s="17"/>
      <c r="N213" s="17"/>
      <c r="O213" s="17"/>
      <c r="P213" s="17"/>
      <c r="Q213" s="17"/>
      <c r="R213" s="17"/>
      <c r="S213" s="17"/>
      <c r="T213" s="17"/>
      <c r="U213" s="17"/>
      <c r="V213" s="1210" t="s">
        <v>5396</v>
      </c>
      <c r="W213" s="1211"/>
      <c r="X213" s="1211"/>
      <c r="Y213" s="1198" t="s">
        <v>5529</v>
      </c>
      <c r="Z213" s="17"/>
      <c r="AA213" s="17"/>
      <c r="AB213" s="17"/>
      <c r="AC213" s="17"/>
      <c r="AD213" s="17"/>
      <c r="AE213" s="17"/>
      <c r="AF213" s="17"/>
    </row>
    <row r="214" spans="1:32" ht="12.75" customHeight="1" x14ac:dyDescent="0.35">
      <c r="A214" s="17"/>
      <c r="B214" s="17"/>
      <c r="C214" s="17"/>
      <c r="D214" s="17"/>
      <c r="E214" s="17"/>
      <c r="F214" s="36">
        <f t="shared" ca="1" si="24"/>
        <v>0.66661631057319637</v>
      </c>
      <c r="G214" s="93">
        <f t="shared" ca="1" si="25"/>
        <v>1</v>
      </c>
      <c r="H214" s="17"/>
      <c r="I214" s="17"/>
      <c r="J214" s="17"/>
      <c r="K214" s="17"/>
      <c r="L214" s="17"/>
      <c r="M214" s="17"/>
      <c r="N214" s="17"/>
      <c r="O214" s="17"/>
      <c r="P214" s="17"/>
      <c r="Q214" s="17"/>
      <c r="R214" s="17"/>
      <c r="S214" s="17"/>
      <c r="T214" s="17"/>
      <c r="U214" s="17"/>
      <c r="V214" s="1199" t="s">
        <v>948</v>
      </c>
      <c r="W214" s="1200">
        <v>1</v>
      </c>
      <c r="X214" s="1200">
        <v>1</v>
      </c>
      <c r="Y214" s="1201" t="s">
        <v>950</v>
      </c>
      <c r="Z214" s="17"/>
      <c r="AA214" s="17"/>
      <c r="AB214" s="17"/>
      <c r="AC214" s="17"/>
      <c r="AD214" s="17"/>
      <c r="AE214" s="17"/>
      <c r="AF214" s="17"/>
    </row>
    <row r="215" spans="1:32" ht="12.75" customHeight="1" x14ac:dyDescent="0.35">
      <c r="A215" s="17"/>
      <c r="B215" s="17"/>
      <c r="C215" s="17"/>
      <c r="D215" s="17"/>
      <c r="E215" s="17"/>
      <c r="F215" s="36">
        <f t="shared" ca="1" si="24"/>
        <v>0.66661631057319237</v>
      </c>
      <c r="G215" s="93">
        <f t="shared" ca="1" si="25"/>
        <v>1</v>
      </c>
      <c r="H215" s="17"/>
      <c r="I215" s="17"/>
      <c r="J215" s="17"/>
      <c r="K215" s="17"/>
      <c r="L215" s="17"/>
      <c r="M215" s="17"/>
      <c r="N215" s="17"/>
      <c r="O215" s="17"/>
      <c r="P215" s="17"/>
      <c r="Q215" s="17"/>
      <c r="R215" s="17"/>
      <c r="S215" s="17"/>
      <c r="T215" s="17"/>
      <c r="U215" s="17"/>
      <c r="V215" s="1202" t="s">
        <v>948</v>
      </c>
      <c r="W215" s="1203">
        <v>1</v>
      </c>
      <c r="X215" s="1203">
        <v>2</v>
      </c>
      <c r="Y215" s="1204" t="s">
        <v>5281</v>
      </c>
      <c r="Z215" s="17"/>
      <c r="AA215" s="17"/>
      <c r="AB215" s="17"/>
      <c r="AC215" s="17"/>
      <c r="AD215" s="17"/>
      <c r="AE215" s="17"/>
      <c r="AF215" s="17"/>
    </row>
    <row r="216" spans="1:32" ht="12.75" customHeight="1" x14ac:dyDescent="0.35">
      <c r="A216" s="17"/>
      <c r="B216" s="17"/>
      <c r="C216" s="17"/>
      <c r="D216" s="17"/>
      <c r="E216" s="17"/>
      <c r="F216" s="36">
        <f t="shared" ca="1" si="24"/>
        <v>0.66661631057319637</v>
      </c>
      <c r="G216" s="93">
        <f t="shared" ca="1" si="25"/>
        <v>1</v>
      </c>
      <c r="H216" s="17"/>
      <c r="I216" s="17"/>
      <c r="J216" s="17"/>
      <c r="K216" s="17"/>
      <c r="L216" s="17"/>
      <c r="M216" s="17"/>
      <c r="N216" s="17"/>
      <c r="O216" s="17"/>
      <c r="P216" s="17"/>
      <c r="Q216" s="17"/>
      <c r="R216" s="17"/>
      <c r="S216" s="17"/>
      <c r="T216" s="17"/>
      <c r="U216" s="17"/>
      <c r="V216" s="1202" t="s">
        <v>948</v>
      </c>
      <c r="W216" s="1203">
        <v>1</v>
      </c>
      <c r="X216" s="1203">
        <v>3</v>
      </c>
      <c r="Y216" s="1204" t="s">
        <v>5282</v>
      </c>
      <c r="Z216" s="17"/>
      <c r="AA216" s="17"/>
      <c r="AB216" s="17"/>
      <c r="AC216" s="17"/>
      <c r="AD216" s="17"/>
      <c r="AE216" s="17"/>
      <c r="AF216" s="17"/>
    </row>
    <row r="217" spans="1:32" ht="12.75" customHeight="1" x14ac:dyDescent="0.35">
      <c r="A217" s="17"/>
      <c r="B217" s="17"/>
      <c r="C217" s="17"/>
      <c r="D217" s="17"/>
      <c r="E217" s="17"/>
      <c r="F217" s="36">
        <f t="shared" ca="1" si="24"/>
        <v>0.66661631057319237</v>
      </c>
      <c r="G217" s="1248">
        <v>0</v>
      </c>
      <c r="H217" s="17"/>
      <c r="I217" s="17"/>
      <c r="J217" s="17"/>
      <c r="K217" s="17"/>
      <c r="L217" s="17"/>
      <c r="M217" s="17"/>
      <c r="N217" s="17"/>
      <c r="O217" s="17"/>
      <c r="P217" s="17"/>
      <c r="Q217" s="17"/>
      <c r="R217" s="17"/>
      <c r="S217" s="17"/>
      <c r="T217" s="17"/>
      <c r="U217" s="17"/>
      <c r="V217" s="1202" t="s">
        <v>948</v>
      </c>
      <c r="W217" s="1203">
        <v>1</v>
      </c>
      <c r="X217" s="1203">
        <v>4</v>
      </c>
      <c r="Y217" s="1204" t="s">
        <v>5283</v>
      </c>
      <c r="Z217" s="17"/>
      <c r="AA217" s="17"/>
      <c r="AB217" s="17"/>
      <c r="AC217" s="17"/>
      <c r="AD217" s="17"/>
      <c r="AE217" s="17"/>
      <c r="AF217" s="17"/>
    </row>
    <row r="218" spans="1:32" ht="12.75" customHeight="1" x14ac:dyDescent="0.35">
      <c r="A218" s="17"/>
      <c r="B218" s="17"/>
      <c r="C218" s="17"/>
      <c r="D218" s="17"/>
      <c r="E218" s="17"/>
      <c r="F218" s="36">
        <f t="shared" ca="1" si="24"/>
        <v>0.66661631057319637</v>
      </c>
      <c r="G218" s="93">
        <f t="shared" ca="1" si="25"/>
        <v>1</v>
      </c>
      <c r="H218" s="17"/>
      <c r="I218" s="17"/>
      <c r="J218" s="17"/>
      <c r="K218" s="17"/>
      <c r="L218" s="17"/>
      <c r="M218" s="17"/>
      <c r="N218" s="17"/>
      <c r="O218" s="17"/>
      <c r="P218" s="17"/>
      <c r="Q218" s="17"/>
      <c r="R218" s="17"/>
      <c r="S218" s="17"/>
      <c r="T218" s="17"/>
      <c r="U218" s="17"/>
      <c r="V218" s="1205" t="s">
        <v>948</v>
      </c>
      <c r="W218" s="1206">
        <v>1</v>
      </c>
      <c r="X218" s="1206">
        <v>5</v>
      </c>
      <c r="Y218" s="1207" t="s">
        <v>5284</v>
      </c>
      <c r="Z218" s="17"/>
      <c r="AA218" s="17"/>
      <c r="AB218" s="17"/>
      <c r="AC218" s="17"/>
      <c r="AD218" s="17"/>
      <c r="AE218" s="17"/>
      <c r="AF218" s="17"/>
    </row>
    <row r="219" spans="1:32" ht="12.75" customHeight="1" x14ac:dyDescent="0.35">
      <c r="A219" s="17"/>
      <c r="B219" s="17"/>
      <c r="C219" s="17"/>
      <c r="D219" s="17"/>
      <c r="E219" s="17"/>
      <c r="F219" s="36">
        <f t="shared" ca="1" si="24"/>
        <v>0.66661631057319237</v>
      </c>
      <c r="G219" s="1248">
        <v>0</v>
      </c>
      <c r="H219" s="17"/>
      <c r="I219" s="17"/>
      <c r="J219" s="17"/>
      <c r="K219" s="17"/>
      <c r="L219" s="17"/>
      <c r="M219" s="17"/>
      <c r="N219" s="17"/>
      <c r="O219" s="17"/>
      <c r="P219" s="17"/>
      <c r="Q219" s="17"/>
      <c r="R219" s="17"/>
      <c r="S219" s="17"/>
      <c r="T219" s="17"/>
      <c r="U219" s="17"/>
      <c r="V219" s="1199" t="s">
        <v>961</v>
      </c>
      <c r="W219" s="1200">
        <v>2</v>
      </c>
      <c r="X219" s="1200">
        <v>1</v>
      </c>
      <c r="Y219" s="1198" t="s">
        <v>5372</v>
      </c>
      <c r="Z219" s="17"/>
      <c r="AA219" s="17"/>
      <c r="AB219" s="17"/>
      <c r="AC219" s="17"/>
      <c r="AD219" s="17"/>
      <c r="AE219" s="17"/>
      <c r="AF219" s="17"/>
    </row>
    <row r="220" spans="1:32" ht="12.75" customHeight="1" x14ac:dyDescent="0.35">
      <c r="A220" s="17"/>
      <c r="B220" s="17"/>
      <c r="C220" s="17"/>
      <c r="D220" s="17"/>
      <c r="E220" s="17"/>
      <c r="F220" s="36">
        <f t="shared" ca="1" si="24"/>
        <v>0.66661631057319237</v>
      </c>
      <c r="G220" s="93">
        <f t="shared" ca="1" si="25"/>
        <v>1</v>
      </c>
      <c r="H220" s="17"/>
      <c r="I220" s="17"/>
      <c r="J220" s="17"/>
      <c r="K220" s="17"/>
      <c r="L220" s="17"/>
      <c r="M220" s="17"/>
      <c r="N220" s="17"/>
      <c r="O220" s="17"/>
      <c r="P220" s="17"/>
      <c r="Q220" s="17"/>
      <c r="R220" s="17"/>
      <c r="S220" s="17"/>
      <c r="T220" s="17"/>
      <c r="U220" s="17"/>
      <c r="V220" s="1202" t="s">
        <v>961</v>
      </c>
      <c r="W220" s="1203">
        <v>2</v>
      </c>
      <c r="X220" s="1203">
        <v>2</v>
      </c>
      <c r="Y220" s="1212" t="s">
        <v>5373</v>
      </c>
      <c r="Z220" s="17"/>
      <c r="AA220" s="17"/>
      <c r="AB220" s="17"/>
      <c r="AC220" s="17"/>
      <c r="AD220" s="17"/>
      <c r="AE220" s="17"/>
      <c r="AF220" s="17"/>
    </row>
    <row r="221" spans="1:32" ht="12.75" customHeight="1" x14ac:dyDescent="0.35">
      <c r="A221" s="17"/>
      <c r="B221" s="17"/>
      <c r="C221" s="17"/>
      <c r="D221" s="17"/>
      <c r="E221" s="17"/>
      <c r="F221" s="36">
        <f t="shared" ca="1" si="24"/>
        <v>0.66661631057319237</v>
      </c>
      <c r="G221" s="1248">
        <v>0</v>
      </c>
      <c r="H221" s="17"/>
      <c r="I221" s="17"/>
      <c r="J221" s="17"/>
      <c r="K221" s="17"/>
      <c r="L221" s="17"/>
      <c r="M221" s="17"/>
      <c r="N221" s="17"/>
      <c r="O221" s="17"/>
      <c r="P221" s="17"/>
      <c r="Q221" s="17"/>
      <c r="R221" s="17"/>
      <c r="S221" s="17"/>
      <c r="T221" s="17"/>
      <c r="U221" s="17"/>
      <c r="V221" s="1202" t="s">
        <v>961</v>
      </c>
      <c r="W221" s="1203">
        <v>2</v>
      </c>
      <c r="X221" s="1203">
        <v>3</v>
      </c>
      <c r="Y221" s="1212" t="s">
        <v>5374</v>
      </c>
      <c r="Z221" s="17"/>
      <c r="AA221" s="17"/>
      <c r="AB221" s="17"/>
      <c r="AC221" s="17"/>
      <c r="AD221" s="17"/>
      <c r="AE221" s="17"/>
      <c r="AF221" s="17"/>
    </row>
    <row r="222" spans="1:32" ht="12.75" customHeight="1" x14ac:dyDescent="0.35">
      <c r="A222" s="17"/>
      <c r="B222" s="17"/>
      <c r="C222" s="17"/>
      <c r="D222" s="17"/>
      <c r="E222" s="17"/>
      <c r="F222" s="36">
        <f t="shared" ca="1" si="24"/>
        <v>0.66661631057319637</v>
      </c>
      <c r="G222" s="93">
        <f t="shared" ca="1" si="25"/>
        <v>1</v>
      </c>
      <c r="H222" s="17"/>
      <c r="I222" s="17"/>
      <c r="J222" s="17"/>
      <c r="K222" s="17"/>
      <c r="L222" s="17"/>
      <c r="M222" s="17"/>
      <c r="N222" s="17"/>
      <c r="O222" s="17"/>
      <c r="P222" s="17"/>
      <c r="Q222" s="17"/>
      <c r="R222" s="17"/>
      <c r="S222" s="17"/>
      <c r="T222" s="17"/>
      <c r="U222" s="17"/>
      <c r="V222" s="1202" t="s">
        <v>961</v>
      </c>
      <c r="W222" s="1203">
        <v>2</v>
      </c>
      <c r="X222" s="1203">
        <v>4</v>
      </c>
      <c r="Y222" s="1212" t="s">
        <v>5375</v>
      </c>
      <c r="Z222" s="17"/>
      <c r="AA222" s="17"/>
      <c r="AB222" s="17"/>
      <c r="AC222" s="17"/>
      <c r="AD222" s="17"/>
      <c r="AE222" s="17"/>
      <c r="AF222" s="17"/>
    </row>
    <row r="223" spans="1:32" ht="12.75" customHeight="1" x14ac:dyDescent="0.35">
      <c r="A223" s="17"/>
      <c r="B223" s="17"/>
      <c r="C223" s="17"/>
      <c r="D223" s="17"/>
      <c r="E223" s="17"/>
      <c r="F223" s="43">
        <f t="shared" ca="1" si="24"/>
        <v>0.66661631057318771</v>
      </c>
      <c r="G223" s="95">
        <f t="shared" ca="1" si="25"/>
        <v>1</v>
      </c>
      <c r="H223" s="17"/>
      <c r="I223" s="17"/>
      <c r="J223" s="17"/>
      <c r="K223" s="17"/>
      <c r="L223" s="17"/>
      <c r="M223" s="17"/>
      <c r="N223" s="17"/>
      <c r="O223" s="17"/>
      <c r="P223" s="17"/>
      <c r="Q223" s="17"/>
      <c r="R223" s="17"/>
      <c r="S223" s="17"/>
      <c r="T223" s="17"/>
      <c r="U223" s="17"/>
      <c r="V223" s="1205" t="s">
        <v>961</v>
      </c>
      <c r="W223" s="1206">
        <v>2</v>
      </c>
      <c r="X223" s="1206">
        <v>5</v>
      </c>
      <c r="Y223" s="1213" t="s">
        <v>5376</v>
      </c>
      <c r="Z223" s="17"/>
      <c r="AA223" s="17"/>
      <c r="AB223" s="17"/>
      <c r="AC223" s="17"/>
      <c r="AD223" s="17"/>
      <c r="AE223" s="17"/>
      <c r="AF223" s="17"/>
    </row>
    <row r="224" spans="1:32" ht="12.75" customHeight="1" x14ac:dyDescent="0.35">
      <c r="A224" s="17"/>
      <c r="B224" s="17"/>
      <c r="C224" s="17"/>
      <c r="D224" s="17"/>
      <c r="E224" s="17"/>
      <c r="F224" s="96" t="s">
        <v>2426</v>
      </c>
      <c r="G224" s="17"/>
      <c r="H224" s="17"/>
      <c r="I224" s="17"/>
      <c r="J224" s="17"/>
      <c r="K224" s="17"/>
      <c r="L224" s="17"/>
      <c r="M224" s="17"/>
      <c r="N224" s="17"/>
      <c r="O224" s="17"/>
      <c r="P224" s="17"/>
      <c r="Q224" s="17"/>
      <c r="R224" s="17"/>
      <c r="S224" s="17"/>
      <c r="T224" s="17"/>
      <c r="U224" s="17"/>
      <c r="V224" s="1199" t="s">
        <v>971</v>
      </c>
      <c r="W224" s="1200">
        <v>3</v>
      </c>
      <c r="X224" s="1200">
        <v>1</v>
      </c>
      <c r="Y224" s="1201" t="s">
        <v>973</v>
      </c>
      <c r="Z224" s="17"/>
      <c r="AA224" s="17"/>
      <c r="AB224" s="17"/>
      <c r="AC224" s="17"/>
      <c r="AD224" s="17"/>
      <c r="AE224" s="17"/>
      <c r="AF224" s="17"/>
    </row>
    <row r="225" spans="1:32" ht="12.75" customHeight="1" x14ac:dyDescent="0.35">
      <c r="A225" s="17"/>
      <c r="B225" s="17"/>
      <c r="C225" s="17"/>
      <c r="D225" s="17"/>
      <c r="E225" s="17"/>
      <c r="F225" s="85">
        <f ca="1">IF(AND(G225&lt;&gt;G227,G228&lt;&gt;0),IF(G225&gt;-G228,G225,G227),G225)</f>
        <v>0.66661631057318771</v>
      </c>
      <c r="G225" s="17">
        <f ca="1">MIN(F202:F223)</f>
        <v>0.66661631057318771</v>
      </c>
      <c r="H225" s="17"/>
      <c r="I225" s="17"/>
      <c r="J225" s="17"/>
      <c r="K225" s="17"/>
      <c r="L225" s="17"/>
      <c r="M225" s="17"/>
      <c r="N225" s="17"/>
      <c r="O225" s="17"/>
      <c r="P225" s="17"/>
      <c r="Q225" s="17"/>
      <c r="R225" s="17"/>
      <c r="S225" s="17"/>
      <c r="T225" s="17"/>
      <c r="U225" s="17"/>
      <c r="V225" s="1202" t="s">
        <v>971</v>
      </c>
      <c r="W225" s="1203">
        <v>3</v>
      </c>
      <c r="X225" s="1203">
        <v>2</v>
      </c>
      <c r="Y225" s="1204" t="s">
        <v>5297</v>
      </c>
      <c r="Z225" s="17"/>
      <c r="AA225" s="17"/>
      <c r="AB225" s="17"/>
      <c r="AC225" s="17"/>
      <c r="AD225" s="17"/>
      <c r="AE225" s="17"/>
      <c r="AF225" s="17"/>
    </row>
    <row r="226" spans="1:32" ht="12.75" customHeight="1" x14ac:dyDescent="0.35">
      <c r="A226" s="17"/>
      <c r="B226" s="17"/>
      <c r="C226" s="17"/>
      <c r="D226" s="17"/>
      <c r="E226" s="17"/>
      <c r="F226" s="85" t="s">
        <v>2427</v>
      </c>
      <c r="G226" s="17">
        <f ca="1">ABS(SUMIF(PreTaxCashFlow,"&gt;0")/-SUMIF(PreTaxCashFlow,"&lt;0")-1)</f>
        <v>5.2656680364289414</v>
      </c>
      <c r="H226" s="17"/>
      <c r="I226" s="17"/>
      <c r="J226" s="17"/>
      <c r="K226" s="17"/>
      <c r="L226" s="17"/>
      <c r="M226" s="17"/>
      <c r="N226" s="17"/>
      <c r="O226" s="17"/>
      <c r="P226" s="17"/>
      <c r="Q226" s="17"/>
      <c r="R226" s="17"/>
      <c r="S226" s="17"/>
      <c r="T226" s="17"/>
      <c r="U226" s="17"/>
      <c r="V226" s="1202" t="s">
        <v>971</v>
      </c>
      <c r="W226" s="1203">
        <v>3</v>
      </c>
      <c r="X226" s="1203">
        <v>3</v>
      </c>
      <c r="Y226" s="1204" t="s">
        <v>5298</v>
      </c>
      <c r="Z226" s="17"/>
      <c r="AA226" s="17"/>
      <c r="AB226" s="17"/>
      <c r="AC226" s="17"/>
      <c r="AD226" s="17"/>
      <c r="AE226" s="17"/>
      <c r="AF226" s="17"/>
    </row>
    <row r="227" spans="1:32" ht="12.75" customHeight="1" x14ac:dyDescent="0.35">
      <c r="A227" s="17"/>
      <c r="B227" s="17"/>
      <c r="C227" s="17"/>
      <c r="D227" s="17"/>
      <c r="E227" s="17"/>
      <c r="F227" s="85">
        <f ca="1">IF(AND(G225&lt;&gt;G227,G228&lt;&gt;0),IF(G227&gt;-G228,G227,G225),G227)</f>
        <v>0.66661631057319637</v>
      </c>
      <c r="G227" s="17">
        <f ca="1">MAX(F202:F223)</f>
        <v>0.66661631057319637</v>
      </c>
      <c r="H227" s="17"/>
      <c r="I227" s="17"/>
      <c r="J227" s="17"/>
      <c r="K227" s="17"/>
      <c r="L227" s="17"/>
      <c r="M227" s="17"/>
      <c r="N227" s="17"/>
      <c r="O227" s="17"/>
      <c r="P227" s="17"/>
      <c r="Q227" s="17"/>
      <c r="R227" s="17"/>
      <c r="S227" s="17"/>
      <c r="T227" s="17"/>
      <c r="U227" s="17"/>
      <c r="V227" s="1202" t="s">
        <v>971</v>
      </c>
      <c r="W227" s="1203">
        <v>3</v>
      </c>
      <c r="X227" s="1203">
        <v>4</v>
      </c>
      <c r="Y227" s="1204" t="s">
        <v>5299</v>
      </c>
      <c r="Z227" s="17"/>
      <c r="AA227" s="17"/>
      <c r="AB227" s="17"/>
      <c r="AC227" s="17"/>
      <c r="AD227" s="17"/>
      <c r="AE227" s="17"/>
      <c r="AF227" s="17"/>
    </row>
    <row r="228" spans="1:32" ht="12.75" customHeight="1" x14ac:dyDescent="0.35">
      <c r="A228" s="17"/>
      <c r="B228" s="17"/>
      <c r="C228" s="17"/>
      <c r="D228" s="17"/>
      <c r="E228" s="17"/>
      <c r="F228" s="17"/>
      <c r="G228" s="17">
        <f ca="1">IF(ISERROR(G226),0,G226)</f>
        <v>5.2656680364289414</v>
      </c>
      <c r="H228" s="17"/>
      <c r="I228" s="17"/>
      <c r="J228" s="17"/>
      <c r="K228" s="17"/>
      <c r="L228" s="17"/>
      <c r="M228" s="17"/>
      <c r="N228" s="17"/>
      <c r="O228" s="17"/>
      <c r="P228" s="17"/>
      <c r="Q228" s="17"/>
      <c r="R228" s="17"/>
      <c r="S228" s="17"/>
      <c r="T228" s="17"/>
      <c r="U228" s="17"/>
      <c r="V228" s="1205" t="s">
        <v>971</v>
      </c>
      <c r="W228" s="1206">
        <v>3</v>
      </c>
      <c r="X228" s="1206">
        <v>5</v>
      </c>
      <c r="Y228" s="1207" t="s">
        <v>5300</v>
      </c>
      <c r="Z228" s="17"/>
      <c r="AA228" s="17"/>
      <c r="AB228" s="17"/>
      <c r="AC228" s="17"/>
      <c r="AD228" s="17"/>
      <c r="AE228" s="17"/>
      <c r="AF228" s="17"/>
    </row>
    <row r="229" spans="1:32" ht="12.75" customHeight="1" x14ac:dyDescent="0.35">
      <c r="A229" s="17"/>
      <c r="B229" s="17"/>
      <c r="C229" s="17"/>
      <c r="D229" s="17"/>
      <c r="E229" s="17"/>
      <c r="F229" s="164" t="s">
        <v>2428</v>
      </c>
      <c r="G229" s="85" t="str">
        <f ca="1">IF(ISNA(G252),"-",OFFSET(G229,G252,0))</f>
        <v>-</v>
      </c>
      <c r="H229" s="17"/>
      <c r="I229" s="17"/>
      <c r="J229" s="17"/>
      <c r="K229" s="17"/>
      <c r="L229" s="17"/>
      <c r="M229" s="17"/>
      <c r="N229" s="17"/>
      <c r="O229" s="17"/>
      <c r="P229" s="17"/>
      <c r="Q229" s="17"/>
      <c r="R229" s="17"/>
      <c r="S229" s="17"/>
      <c r="T229" s="17"/>
      <c r="U229" s="17"/>
      <c r="V229" s="1214" t="s">
        <v>5530</v>
      </c>
      <c r="W229" s="1215"/>
      <c r="X229" s="1215"/>
      <c r="Y229" s="1198" t="s">
        <v>5531</v>
      </c>
      <c r="Z229" s="17"/>
      <c r="AA229" s="17"/>
      <c r="AB229" s="17"/>
      <c r="AC229" s="17"/>
      <c r="AD229" s="17"/>
      <c r="AE229" s="17"/>
      <c r="AF229" s="17"/>
    </row>
    <row r="230" spans="1:32" ht="12.75" customHeight="1" x14ac:dyDescent="0.35">
      <c r="A230" s="17"/>
      <c r="B230" s="17"/>
      <c r="C230" s="17"/>
      <c r="D230" s="17"/>
      <c r="E230" s="17"/>
      <c r="F230" s="29">
        <f>F231*0.5</f>
        <v>1.1316398208850442E-3</v>
      </c>
      <c r="G230" s="86" t="e">
        <f t="shared" ref="G230:G235" si="26">IF(FCFEinUse=1,(1+IRR(PreTaxCashFlowEquity,$F230))^12-1,NA())</f>
        <v>#N/A</v>
      </c>
      <c r="H230" s="17"/>
      <c r="I230" s="17"/>
      <c r="J230" s="17"/>
      <c r="K230" s="17"/>
      <c r="L230" s="17"/>
      <c r="M230" s="17"/>
      <c r="N230" s="17"/>
      <c r="O230" s="17"/>
      <c r="P230" s="17"/>
      <c r="Q230" s="17"/>
      <c r="R230" s="17"/>
      <c r="S230" s="17"/>
      <c r="T230" s="17"/>
      <c r="U230" s="17"/>
      <c r="V230" s="1199" t="s">
        <v>948</v>
      </c>
      <c r="W230" s="1200">
        <v>1</v>
      </c>
      <c r="X230" s="1200">
        <v>1</v>
      </c>
      <c r="Y230" s="1201" t="s">
        <v>951</v>
      </c>
      <c r="Z230" s="17"/>
      <c r="AA230" s="17"/>
      <c r="AB230" s="17"/>
      <c r="AC230" s="17"/>
      <c r="AD230" s="17"/>
      <c r="AE230" s="17"/>
      <c r="AF230" s="17"/>
    </row>
    <row r="231" spans="1:32" ht="12.75" customHeight="1" x14ac:dyDescent="0.35">
      <c r="A231" s="17"/>
      <c r="B231" s="17"/>
      <c r="C231" s="17"/>
      <c r="D231" s="17"/>
      <c r="E231" s="17"/>
      <c r="F231" s="36">
        <f>DiscMonth</f>
        <v>2.2632796417700884E-3</v>
      </c>
      <c r="G231" s="87" t="e">
        <f t="shared" si="26"/>
        <v>#N/A</v>
      </c>
      <c r="H231" s="17"/>
      <c r="I231" s="17"/>
      <c r="J231" s="17"/>
      <c r="K231" s="17"/>
      <c r="L231" s="17"/>
      <c r="M231" s="17"/>
      <c r="N231" s="17"/>
      <c r="O231" s="17"/>
      <c r="P231" s="17"/>
      <c r="Q231" s="17"/>
      <c r="R231" s="17"/>
      <c r="S231" s="17"/>
      <c r="T231" s="17"/>
      <c r="U231" s="17"/>
      <c r="V231" s="1202" t="s">
        <v>948</v>
      </c>
      <c r="W231" s="1203">
        <v>1</v>
      </c>
      <c r="X231" s="1203">
        <v>2</v>
      </c>
      <c r="Y231" s="1204" t="s">
        <v>5285</v>
      </c>
      <c r="Z231" s="17"/>
      <c r="AA231" s="17"/>
      <c r="AB231" s="17"/>
      <c r="AC231" s="17"/>
      <c r="AD231" s="17"/>
      <c r="AE231" s="17"/>
      <c r="AF231" s="17"/>
    </row>
    <row r="232" spans="1:32" ht="12.75" customHeight="1" x14ac:dyDescent="0.35">
      <c r="A232" s="17"/>
      <c r="B232" s="17"/>
      <c r="C232" s="17"/>
      <c r="D232" s="17"/>
      <c r="E232" s="17"/>
      <c r="F232" s="36">
        <f>F231*1.5</f>
        <v>3.3949194626551327E-3</v>
      </c>
      <c r="G232" s="87" t="e">
        <f t="shared" si="26"/>
        <v>#N/A</v>
      </c>
      <c r="H232" s="17"/>
      <c r="I232" s="17"/>
      <c r="J232" s="17"/>
      <c r="K232" s="17"/>
      <c r="L232" s="17"/>
      <c r="M232" s="17"/>
      <c r="N232" s="17"/>
      <c r="O232" s="17"/>
      <c r="P232" s="17"/>
      <c r="Q232" s="17"/>
      <c r="R232" s="17"/>
      <c r="S232" s="17"/>
      <c r="T232" s="17"/>
      <c r="U232" s="17"/>
      <c r="V232" s="1202" t="s">
        <v>948</v>
      </c>
      <c r="W232" s="1203">
        <v>1</v>
      </c>
      <c r="X232" s="1203">
        <v>3</v>
      </c>
      <c r="Y232" s="1204" t="s">
        <v>5287</v>
      </c>
      <c r="Z232" s="17"/>
      <c r="AA232" s="17"/>
      <c r="AB232" s="17"/>
      <c r="AC232" s="17"/>
      <c r="AD232" s="17"/>
      <c r="AE232" s="17"/>
      <c r="AF232" s="17"/>
    </row>
    <row r="233" spans="1:32" ht="12.75" customHeight="1" x14ac:dyDescent="0.35">
      <c r="A233" s="17"/>
      <c r="B233" s="17"/>
      <c r="C233" s="17"/>
      <c r="D233" s="17"/>
      <c r="E233" s="17"/>
      <c r="F233" s="36">
        <f>-F230</f>
        <v>-1.1316398208850442E-3</v>
      </c>
      <c r="G233" s="87" t="e">
        <f t="shared" si="26"/>
        <v>#N/A</v>
      </c>
      <c r="H233" s="17"/>
      <c r="I233" s="17"/>
      <c r="J233" s="17"/>
      <c r="K233" s="17"/>
      <c r="L233" s="17"/>
      <c r="M233" s="17"/>
      <c r="N233" s="17"/>
      <c r="O233" s="17"/>
      <c r="P233" s="17"/>
      <c r="Q233" s="17"/>
      <c r="R233" s="17"/>
      <c r="S233" s="17"/>
      <c r="T233" s="17"/>
      <c r="U233" s="17"/>
      <c r="V233" s="1202" t="s">
        <v>948</v>
      </c>
      <c r="W233" s="1203">
        <v>1</v>
      </c>
      <c r="X233" s="1203">
        <v>4</v>
      </c>
      <c r="Y233" s="1204" t="s">
        <v>5288</v>
      </c>
      <c r="Z233" s="17"/>
      <c r="AA233" s="17"/>
      <c r="AB233" s="17"/>
      <c r="AC233" s="17"/>
      <c r="AD233" s="17"/>
      <c r="AE233" s="17"/>
      <c r="AF233" s="17"/>
    </row>
    <row r="234" spans="1:32" ht="12.75" customHeight="1" x14ac:dyDescent="0.35">
      <c r="A234" s="17"/>
      <c r="B234" s="17"/>
      <c r="C234" s="17"/>
      <c r="D234" s="17"/>
      <c r="E234" s="17"/>
      <c r="F234" s="36">
        <f>-F231</f>
        <v>-2.2632796417700884E-3</v>
      </c>
      <c r="G234" s="87" t="e">
        <f t="shared" si="26"/>
        <v>#N/A</v>
      </c>
      <c r="H234" s="17"/>
      <c r="I234" s="17"/>
      <c r="J234" s="17"/>
      <c r="K234" s="17"/>
      <c r="L234" s="17"/>
      <c r="M234" s="17"/>
      <c r="N234" s="17"/>
      <c r="O234" s="17"/>
      <c r="P234" s="17"/>
      <c r="Q234" s="17"/>
      <c r="R234" s="17"/>
      <c r="S234" s="17"/>
      <c r="T234" s="17"/>
      <c r="U234" s="17"/>
      <c r="V234" s="1205" t="s">
        <v>948</v>
      </c>
      <c r="W234" s="1206">
        <v>1</v>
      </c>
      <c r="X234" s="1206">
        <v>5</v>
      </c>
      <c r="Y234" s="1207" t="s">
        <v>5286</v>
      </c>
      <c r="Z234" s="17"/>
      <c r="AA234" s="17"/>
      <c r="AB234" s="17"/>
      <c r="AC234" s="17"/>
      <c r="AD234" s="17"/>
      <c r="AE234" s="17"/>
      <c r="AF234" s="17"/>
    </row>
    <row r="235" spans="1:32" ht="12.75" customHeight="1" x14ac:dyDescent="0.35">
      <c r="A235" s="17"/>
      <c r="B235" s="17"/>
      <c r="C235" s="17"/>
      <c r="D235" s="17"/>
      <c r="E235" s="17"/>
      <c r="F235" s="36">
        <f>-F232</f>
        <v>-3.3949194626551327E-3</v>
      </c>
      <c r="G235" s="87" t="e">
        <f t="shared" si="26"/>
        <v>#N/A</v>
      </c>
      <c r="H235" s="17"/>
      <c r="I235" s="17"/>
      <c r="J235" s="17"/>
      <c r="K235" s="17"/>
      <c r="L235" s="17"/>
      <c r="M235" s="17"/>
      <c r="N235" s="17"/>
      <c r="O235" s="17"/>
      <c r="P235" s="17"/>
      <c r="Q235" s="17"/>
      <c r="R235" s="17"/>
      <c r="S235" s="17"/>
      <c r="T235" s="17"/>
      <c r="U235" s="17"/>
      <c r="V235" s="1199" t="s">
        <v>961</v>
      </c>
      <c r="W235" s="1200">
        <v>2</v>
      </c>
      <c r="X235" s="1200">
        <v>1</v>
      </c>
      <c r="Y235" s="1201" t="s">
        <v>963</v>
      </c>
      <c r="Z235" s="17"/>
      <c r="AA235" s="17"/>
      <c r="AB235" s="17"/>
      <c r="AC235" s="17"/>
      <c r="AD235" s="17"/>
      <c r="AE235" s="17"/>
      <c r="AF235" s="17"/>
    </row>
    <row r="236" spans="1:32" ht="12.75" customHeight="1" x14ac:dyDescent="0.35">
      <c r="A236" s="17"/>
      <c r="B236" s="17"/>
      <c r="C236" s="17"/>
      <c r="D236" s="17"/>
      <c r="E236" s="17"/>
      <c r="F236" s="90">
        <v>-1</v>
      </c>
      <c r="G236" s="1249" t="e">
        <f>G237</f>
        <v>#N/A</v>
      </c>
      <c r="H236" s="17"/>
      <c r="I236" s="17"/>
      <c r="J236" s="17"/>
      <c r="K236" s="17"/>
      <c r="L236" s="17"/>
      <c r="M236" s="17"/>
      <c r="N236" s="17"/>
      <c r="O236" s="17"/>
      <c r="P236" s="17"/>
      <c r="Q236" s="17"/>
      <c r="R236" s="17"/>
      <c r="S236" s="17"/>
      <c r="T236" s="17"/>
      <c r="U236" s="17"/>
      <c r="V236" s="1202" t="s">
        <v>961</v>
      </c>
      <c r="W236" s="1203">
        <v>2</v>
      </c>
      <c r="X236" s="1203">
        <v>2</v>
      </c>
      <c r="Y236" s="1204" t="s">
        <v>5211</v>
      </c>
      <c r="Z236" s="17"/>
      <c r="AA236" s="17"/>
      <c r="AB236" s="17"/>
      <c r="AC236" s="17"/>
      <c r="AD236" s="17"/>
      <c r="AE236" s="17"/>
      <c r="AF236" s="17"/>
    </row>
    <row r="237" spans="1:32" ht="12.75" customHeight="1" x14ac:dyDescent="0.35">
      <c r="A237" s="17"/>
      <c r="B237" s="17"/>
      <c r="C237" s="17"/>
      <c r="D237" s="17"/>
      <c r="E237" s="17"/>
      <c r="F237" s="92">
        <v>-9.5462094216042792E-2</v>
      </c>
      <c r="G237" s="93" t="e">
        <f>IF(FCFEinUse=1,(1+IRR(PreTaxCashFlowEquity,$F237))^12-1,NA())</f>
        <v>#N/A</v>
      </c>
      <c r="H237" s="17"/>
      <c r="I237" s="17"/>
      <c r="J237" s="17"/>
      <c r="K237" s="17"/>
      <c r="L237" s="17"/>
      <c r="M237" s="17"/>
      <c r="N237" s="17"/>
      <c r="O237" s="17"/>
      <c r="P237" s="17"/>
      <c r="Q237" s="17"/>
      <c r="R237" s="17"/>
      <c r="S237" s="17"/>
      <c r="T237" s="17"/>
      <c r="U237" s="17"/>
      <c r="V237" s="1202" t="s">
        <v>961</v>
      </c>
      <c r="W237" s="1203">
        <v>2</v>
      </c>
      <c r="X237" s="1203">
        <v>3</v>
      </c>
      <c r="Y237" s="1204" t="s">
        <v>5214</v>
      </c>
      <c r="Z237" s="17"/>
      <c r="AA237" s="17"/>
      <c r="AB237" s="17"/>
      <c r="AC237" s="17"/>
      <c r="AD237" s="17"/>
      <c r="AE237" s="17"/>
      <c r="AF237" s="17"/>
    </row>
    <row r="238" spans="1:32" ht="12.75" customHeight="1" x14ac:dyDescent="0.35">
      <c r="A238" s="17"/>
      <c r="B238" s="17"/>
      <c r="C238" s="17"/>
      <c r="D238" s="17"/>
      <c r="E238" s="17"/>
      <c r="F238" s="92">
        <v>-4.1675471372851991E-2</v>
      </c>
      <c r="G238" s="1248" t="e">
        <f>G239</f>
        <v>#N/A</v>
      </c>
      <c r="H238" s="17"/>
      <c r="I238" s="17"/>
      <c r="J238" s="17"/>
      <c r="K238" s="17"/>
      <c r="L238" s="17"/>
      <c r="M238" s="17"/>
      <c r="N238" s="17"/>
      <c r="O238" s="17"/>
      <c r="P238" s="17"/>
      <c r="Q238" s="17"/>
      <c r="R238" s="17"/>
      <c r="S238" s="17"/>
      <c r="T238" s="17"/>
      <c r="U238" s="17"/>
      <c r="V238" s="1202" t="s">
        <v>961</v>
      </c>
      <c r="W238" s="1203">
        <v>2</v>
      </c>
      <c r="X238" s="1203">
        <v>4</v>
      </c>
      <c r="Y238" s="1204" t="s">
        <v>5217</v>
      </c>
      <c r="Z238" s="17"/>
      <c r="AA238" s="17"/>
      <c r="AB238" s="17"/>
      <c r="AC238" s="17"/>
      <c r="AD238" s="17"/>
      <c r="AE238" s="17"/>
      <c r="AF238" s="17"/>
    </row>
    <row r="239" spans="1:32" ht="12.75" customHeight="1" x14ac:dyDescent="0.35">
      <c r="A239" s="17"/>
      <c r="B239" s="17"/>
      <c r="C239" s="17"/>
      <c r="D239" s="17"/>
      <c r="E239" s="17"/>
      <c r="F239" s="92">
        <v>-2.9285530376777613E-2</v>
      </c>
      <c r="G239" s="93" t="e">
        <f>IF(FCFEinUse=1,(1+IRR(PreTaxCashFlowEquity,$F239))^12-1,NA())</f>
        <v>#N/A</v>
      </c>
      <c r="H239" s="17"/>
      <c r="I239" s="17"/>
      <c r="J239" s="17"/>
      <c r="K239" s="17"/>
      <c r="L239" s="17"/>
      <c r="M239" s="17"/>
      <c r="N239" s="17"/>
      <c r="O239" s="17"/>
      <c r="P239" s="17"/>
      <c r="Q239" s="17"/>
      <c r="R239" s="17"/>
      <c r="S239" s="17"/>
      <c r="T239" s="17"/>
      <c r="U239" s="17"/>
      <c r="V239" s="1205" t="s">
        <v>961</v>
      </c>
      <c r="W239" s="1206">
        <v>2</v>
      </c>
      <c r="X239" s="1206">
        <v>5</v>
      </c>
      <c r="Y239" s="1207" t="s">
        <v>5262</v>
      </c>
      <c r="Z239" s="17"/>
      <c r="AA239" s="17"/>
      <c r="AB239" s="17"/>
      <c r="AC239" s="17"/>
      <c r="AD239" s="17"/>
      <c r="AE239" s="17"/>
      <c r="AF239" s="17"/>
    </row>
    <row r="240" spans="1:32" ht="12.75" customHeight="1" x14ac:dyDescent="0.35">
      <c r="A240" s="17"/>
      <c r="B240" s="17"/>
      <c r="C240" s="17"/>
      <c r="D240" s="17"/>
      <c r="E240" s="17"/>
      <c r="F240" s="92">
        <v>-1.8423470126248342E-2</v>
      </c>
      <c r="G240" s="1248" t="e">
        <f>G241</f>
        <v>#N/A</v>
      </c>
      <c r="H240" s="17"/>
      <c r="I240" s="17"/>
      <c r="J240" s="17"/>
      <c r="K240" s="17"/>
      <c r="L240" s="17"/>
      <c r="M240" s="17"/>
      <c r="N240" s="17"/>
      <c r="O240" s="17"/>
      <c r="P240" s="17"/>
      <c r="Q240" s="17"/>
      <c r="R240" s="17"/>
      <c r="S240" s="17"/>
      <c r="T240" s="17"/>
      <c r="U240" s="17"/>
      <c r="V240" s="1199" t="s">
        <v>971</v>
      </c>
      <c r="W240" s="1200">
        <v>3</v>
      </c>
      <c r="X240" s="1200">
        <v>1</v>
      </c>
      <c r="Y240" s="1201" t="s">
        <v>974</v>
      </c>
      <c r="Z240" s="17"/>
      <c r="AA240" s="17"/>
      <c r="AB240" s="17"/>
      <c r="AC240" s="17"/>
      <c r="AD240" s="17"/>
      <c r="AE240" s="17"/>
      <c r="AF240" s="17"/>
    </row>
    <row r="241" spans="1:32" ht="12.75" customHeight="1" x14ac:dyDescent="0.35">
      <c r="A241" s="17"/>
      <c r="B241" s="17"/>
      <c r="C241" s="17"/>
      <c r="D241" s="17"/>
      <c r="E241" s="17"/>
      <c r="F241" s="92">
        <v>-8.7416109546967213E-3</v>
      </c>
      <c r="G241" s="93" t="e">
        <f>IF(FCFEinUse=1,(1+IRR(PreTaxCashFlowEquity,$F241))^12-1,NA())</f>
        <v>#N/A</v>
      </c>
      <c r="H241" s="17"/>
      <c r="I241" s="17"/>
      <c r="J241" s="17"/>
      <c r="K241" s="17"/>
      <c r="L241" s="17"/>
      <c r="M241" s="17"/>
      <c r="N241" s="17"/>
      <c r="O241" s="17"/>
      <c r="P241" s="17"/>
      <c r="Q241" s="17"/>
      <c r="R241" s="17"/>
      <c r="S241" s="17"/>
      <c r="T241" s="17"/>
      <c r="U241" s="17"/>
      <c r="V241" s="1202" t="s">
        <v>971</v>
      </c>
      <c r="W241" s="1203">
        <v>3</v>
      </c>
      <c r="X241" s="1203">
        <v>2</v>
      </c>
      <c r="Y241" s="1204" t="s">
        <v>5301</v>
      </c>
      <c r="Z241" s="17"/>
      <c r="AA241" s="17"/>
      <c r="AB241" s="17"/>
      <c r="AC241" s="17"/>
      <c r="AD241" s="17"/>
      <c r="AE241" s="17"/>
      <c r="AF241" s="17"/>
    </row>
    <row r="242" spans="1:32" ht="12.75" customHeight="1" x14ac:dyDescent="0.35">
      <c r="A242" s="17"/>
      <c r="B242" s="17"/>
      <c r="C242" s="17"/>
      <c r="D242" s="17"/>
      <c r="E242" s="17"/>
      <c r="F242" s="92">
        <v>-4.2653187775606449E-3</v>
      </c>
      <c r="G242" s="93" t="e">
        <f>IF(FCFEinUse=1,(1+IRR(PreTaxCashFlowEquity,$F242))^12-1,NA())</f>
        <v>#N/A</v>
      </c>
      <c r="H242" s="17"/>
      <c r="I242" s="17"/>
      <c r="J242" s="17"/>
      <c r="K242" s="17"/>
      <c r="L242" s="17"/>
      <c r="M242" s="17"/>
      <c r="N242" s="17"/>
      <c r="O242" s="17"/>
      <c r="P242" s="17"/>
      <c r="Q242" s="17"/>
      <c r="R242" s="17"/>
      <c r="S242" s="17"/>
      <c r="T242" s="17"/>
      <c r="U242" s="17"/>
      <c r="V242" s="1202" t="s">
        <v>971</v>
      </c>
      <c r="W242" s="1203">
        <v>3</v>
      </c>
      <c r="X242" s="1203">
        <v>3</v>
      </c>
      <c r="Y242" s="1204" t="s">
        <v>5302</v>
      </c>
      <c r="Z242" s="17"/>
      <c r="AA242" s="17"/>
      <c r="AB242" s="17"/>
      <c r="AC242" s="17"/>
      <c r="AD242" s="17"/>
      <c r="AE242" s="17"/>
      <c r="AF242" s="17"/>
    </row>
    <row r="243" spans="1:32" ht="12.75" customHeight="1" x14ac:dyDescent="0.35">
      <c r="A243" s="17"/>
      <c r="B243" s="17"/>
      <c r="C243" s="17"/>
      <c r="D243" s="17"/>
      <c r="E243" s="17"/>
      <c r="F243" s="92">
        <v>1</v>
      </c>
      <c r="G243" s="93" t="e">
        <f>IF(FCFEinUse=1,(1+IRR(PreTaxCashFlowEquity,$F243))^12-1,NA())</f>
        <v>#N/A</v>
      </c>
      <c r="H243" s="17"/>
      <c r="I243" s="17"/>
      <c r="J243" s="17"/>
      <c r="K243" s="17"/>
      <c r="L243" s="17"/>
      <c r="M243" s="17"/>
      <c r="N243" s="17"/>
      <c r="O243" s="17"/>
      <c r="P243" s="17"/>
      <c r="Q243" s="17"/>
      <c r="R243" s="17"/>
      <c r="S243" s="17"/>
      <c r="T243" s="17"/>
      <c r="U243" s="17"/>
      <c r="V243" s="1202" t="s">
        <v>971</v>
      </c>
      <c r="W243" s="1203">
        <v>3</v>
      </c>
      <c r="X243" s="1203">
        <v>4</v>
      </c>
      <c r="Y243" s="1204" t="s">
        <v>5303</v>
      </c>
      <c r="Z243" s="17"/>
      <c r="AA243" s="17"/>
      <c r="AB243" s="17"/>
      <c r="AC243" s="17"/>
      <c r="AD243" s="17"/>
      <c r="AE243" s="17"/>
      <c r="AF243" s="17"/>
    </row>
    <row r="244" spans="1:32" ht="12.75" customHeight="1" x14ac:dyDescent="0.35">
      <c r="A244" s="17"/>
      <c r="B244" s="17"/>
      <c r="C244" s="17"/>
      <c r="D244" s="17"/>
      <c r="E244" s="17"/>
      <c r="F244" s="92">
        <v>9.5872691135244326E-2</v>
      </c>
      <c r="G244" s="93" t="e">
        <f>IF(FCFEinUse=1,(1+IRR(PreTaxCashFlowEquity,$F244))^12-1,NA())</f>
        <v>#N/A</v>
      </c>
      <c r="H244" s="17"/>
      <c r="I244" s="17"/>
      <c r="J244" s="17"/>
      <c r="K244" s="17"/>
      <c r="L244" s="17"/>
      <c r="M244" s="17"/>
      <c r="N244" s="17"/>
      <c r="O244" s="17"/>
      <c r="P244" s="17"/>
      <c r="Q244" s="17"/>
      <c r="R244" s="17"/>
      <c r="S244" s="17"/>
      <c r="T244" s="17"/>
      <c r="U244" s="17"/>
      <c r="V244" s="1205" t="s">
        <v>971</v>
      </c>
      <c r="W244" s="1206">
        <v>3</v>
      </c>
      <c r="X244" s="1206">
        <v>5</v>
      </c>
      <c r="Y244" s="1207" t="s">
        <v>5304</v>
      </c>
      <c r="Z244" s="17"/>
      <c r="AA244" s="17"/>
      <c r="AB244" s="17"/>
      <c r="AC244" s="17"/>
      <c r="AD244" s="17"/>
      <c r="AE244" s="17"/>
      <c r="AF244" s="17"/>
    </row>
    <row r="245" spans="1:32" ht="12.75" customHeight="1" x14ac:dyDescent="0.35">
      <c r="A245" s="17"/>
      <c r="B245" s="17"/>
      <c r="C245" s="17"/>
      <c r="D245" s="17"/>
      <c r="E245" s="17"/>
      <c r="F245" s="92">
        <v>5.946309435929531E-2</v>
      </c>
      <c r="G245" s="1248" t="e">
        <f>G246</f>
        <v>#N/A</v>
      </c>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row>
    <row r="246" spans="1:32" ht="12.75" customHeight="1" x14ac:dyDescent="0.35">
      <c r="A246" s="17"/>
      <c r="B246" s="17"/>
      <c r="C246" s="17"/>
      <c r="D246" s="17"/>
      <c r="E246" s="17"/>
      <c r="F246" s="92">
        <v>4.521125295294337E-2</v>
      </c>
      <c r="G246" s="93" t="e">
        <f>IF(FCFEinUse=1,(1+IRR(PreTaxCashFlowEquity,$F246))^12-1,NA())</f>
        <v>#N/A</v>
      </c>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row>
    <row r="247" spans="1:32" ht="12.75" customHeight="1" x14ac:dyDescent="0.35">
      <c r="A247" s="17"/>
      <c r="B247" s="17"/>
      <c r="C247" s="17"/>
      <c r="D247" s="17"/>
      <c r="E247" s="17"/>
      <c r="F247" s="92">
        <v>2.8436155726361267E-2</v>
      </c>
      <c r="G247" s="1248" t="e">
        <f>G248</f>
        <v>#N/A</v>
      </c>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row>
    <row r="248" spans="1:32" ht="12.75" customHeight="1" x14ac:dyDescent="0.35">
      <c r="A248" s="17"/>
      <c r="B248" s="17"/>
      <c r="C248" s="17"/>
      <c r="D248" s="17"/>
      <c r="E248" s="17"/>
      <c r="F248" s="92">
        <v>1.5309470499731193E-2</v>
      </c>
      <c r="G248" s="93" t="e">
        <f>IF(FCFEinUse=1,(1+IRR(PreTaxCashFlowEquity,$F248))^12-1,NA())</f>
        <v>#N/A</v>
      </c>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row>
    <row r="249" spans="1:32" ht="12.75" customHeight="1" x14ac:dyDescent="0.35">
      <c r="A249" s="17"/>
      <c r="B249" s="17"/>
      <c r="C249" s="17"/>
      <c r="D249" s="17"/>
      <c r="E249" s="17"/>
      <c r="F249" s="92">
        <v>7.9741404289037643E-3</v>
      </c>
      <c r="G249" s="1248" t="e">
        <f>G250</f>
        <v>#N/A</v>
      </c>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row>
    <row r="250" spans="1:32" ht="12.75" customHeight="1" x14ac:dyDescent="0.35">
      <c r="A250" s="17"/>
      <c r="B250" s="17"/>
      <c r="C250" s="17"/>
      <c r="D250" s="17"/>
      <c r="E250" s="17"/>
      <c r="F250" s="92">
        <v>4.0741237836483535E-3</v>
      </c>
      <c r="G250" s="93" t="e">
        <f>IF(FCFEinUse=1,(1+IRR(PreTaxCashFlowEquity,$F250))^12-1,NA())</f>
        <v>#N/A</v>
      </c>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row>
    <row r="251" spans="1:32" ht="12.75" customHeight="1" x14ac:dyDescent="0.35">
      <c r="A251" s="17"/>
      <c r="B251" s="17"/>
      <c r="C251" s="17"/>
      <c r="D251" s="17"/>
      <c r="E251" s="17"/>
      <c r="F251" s="94">
        <v>2.0598362698427408E-3</v>
      </c>
      <c r="G251" s="95" t="e">
        <f>IF(FCFEinUse=1,(1+IRR(PreTaxCashFlowEquity,$F251))^12-1,NA())</f>
        <v>#N/A</v>
      </c>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row>
    <row r="252" spans="1:32" ht="12.75" customHeight="1" x14ac:dyDescent="0.35">
      <c r="A252" s="17"/>
      <c r="B252" s="17"/>
      <c r="C252" s="17"/>
      <c r="D252" s="17"/>
      <c r="E252" s="17"/>
      <c r="F252" s="17"/>
      <c r="G252" s="21" t="e">
        <f>MATCH(1,G253:G274,0)</f>
        <v>#N/A</v>
      </c>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row>
    <row r="253" spans="1:32" ht="12.75" customHeight="1" x14ac:dyDescent="0.35">
      <c r="A253" s="17"/>
      <c r="B253" s="17"/>
      <c r="C253" s="17"/>
      <c r="D253" s="17"/>
      <c r="E253" s="17"/>
      <c r="F253" s="29" t="str">
        <f t="shared" ref="F253:F274" ca="1" si="27">IF(G253=1,G230,$G$229)</f>
        <v>-</v>
      </c>
      <c r="G253" s="91">
        <f t="shared" ref="G253:G274" si="28">IF(ISERROR(G230),0,1)</f>
        <v>0</v>
      </c>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row>
    <row r="254" spans="1:32" ht="12.75" customHeight="1" x14ac:dyDescent="0.35">
      <c r="A254" s="17"/>
      <c r="B254" s="17"/>
      <c r="C254" s="17"/>
      <c r="D254" s="17"/>
      <c r="E254" s="17"/>
      <c r="F254" s="36" t="str">
        <f t="shared" ca="1" si="27"/>
        <v>-</v>
      </c>
      <c r="G254" s="93">
        <f t="shared" si="28"/>
        <v>0</v>
      </c>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row>
    <row r="255" spans="1:32" ht="12.75" customHeight="1" x14ac:dyDescent="0.35">
      <c r="A255" s="17"/>
      <c r="B255" s="17"/>
      <c r="C255" s="17"/>
      <c r="D255" s="17"/>
      <c r="E255" s="17"/>
      <c r="F255" s="36" t="str">
        <f t="shared" ca="1" si="27"/>
        <v>-</v>
      </c>
      <c r="G255" s="93">
        <f t="shared" si="28"/>
        <v>0</v>
      </c>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row>
    <row r="256" spans="1:32" ht="12.75" customHeight="1" x14ac:dyDescent="0.35">
      <c r="A256" s="17"/>
      <c r="B256" s="17"/>
      <c r="C256" s="17"/>
      <c r="D256" s="17"/>
      <c r="E256" s="17"/>
      <c r="F256" s="36" t="str">
        <f t="shared" ca="1" si="27"/>
        <v>-</v>
      </c>
      <c r="G256" s="93">
        <f t="shared" si="28"/>
        <v>0</v>
      </c>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row>
    <row r="257" spans="1:32" ht="12.75" customHeight="1" x14ac:dyDescent="0.35">
      <c r="A257" s="17"/>
      <c r="B257" s="17"/>
      <c r="C257" s="17"/>
      <c r="D257" s="17"/>
      <c r="E257" s="17"/>
      <c r="F257" s="36" t="str">
        <f t="shared" ca="1" si="27"/>
        <v>-</v>
      </c>
      <c r="G257" s="93">
        <f t="shared" si="28"/>
        <v>0</v>
      </c>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row>
    <row r="258" spans="1:32" ht="12.75" customHeight="1" x14ac:dyDescent="0.35">
      <c r="A258" s="17"/>
      <c r="B258" s="17"/>
      <c r="C258" s="17"/>
      <c r="D258" s="17"/>
      <c r="E258" s="17"/>
      <c r="F258" s="36" t="str">
        <f t="shared" ca="1" si="27"/>
        <v>-</v>
      </c>
      <c r="G258" s="93">
        <f t="shared" si="28"/>
        <v>0</v>
      </c>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row>
    <row r="259" spans="1:32" ht="12.75" customHeight="1" x14ac:dyDescent="0.35">
      <c r="A259" s="17"/>
      <c r="B259" s="17"/>
      <c r="C259" s="17"/>
      <c r="D259" s="17"/>
      <c r="E259" s="17"/>
      <c r="F259" s="29" t="str">
        <f t="shared" ca="1" si="27"/>
        <v>-</v>
      </c>
      <c r="G259" s="1249">
        <v>0</v>
      </c>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row>
    <row r="260" spans="1:32" ht="12.75" customHeight="1" x14ac:dyDescent="0.35">
      <c r="A260" s="17"/>
      <c r="B260" s="17"/>
      <c r="C260" s="17"/>
      <c r="D260" s="17"/>
      <c r="E260" s="17"/>
      <c r="F260" s="36" t="str">
        <f t="shared" ca="1" si="27"/>
        <v>-</v>
      </c>
      <c r="G260" s="93">
        <f t="shared" si="28"/>
        <v>0</v>
      </c>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row>
    <row r="261" spans="1:32" ht="12.75" customHeight="1" x14ac:dyDescent="0.35">
      <c r="A261" s="17"/>
      <c r="B261" s="17"/>
      <c r="C261" s="17"/>
      <c r="D261" s="17"/>
      <c r="E261" s="17"/>
      <c r="F261" s="36" t="str">
        <f t="shared" ca="1" si="27"/>
        <v>-</v>
      </c>
      <c r="G261" s="1248">
        <v>0</v>
      </c>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row>
    <row r="262" spans="1:32" ht="12.75" customHeight="1" x14ac:dyDescent="0.35">
      <c r="A262" s="17"/>
      <c r="B262" s="17"/>
      <c r="C262" s="17"/>
      <c r="D262" s="17"/>
      <c r="E262" s="17"/>
      <c r="F262" s="36" t="str">
        <f t="shared" ca="1" si="27"/>
        <v>-</v>
      </c>
      <c r="G262" s="93">
        <f t="shared" si="28"/>
        <v>0</v>
      </c>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row>
    <row r="263" spans="1:32" ht="12.75" customHeight="1" x14ac:dyDescent="0.35">
      <c r="A263" s="17"/>
      <c r="B263" s="17"/>
      <c r="C263" s="17"/>
      <c r="D263" s="17"/>
      <c r="E263" s="17"/>
      <c r="F263" s="36" t="str">
        <f t="shared" ca="1" si="27"/>
        <v>-</v>
      </c>
      <c r="G263" s="1248">
        <v>0</v>
      </c>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row>
    <row r="264" spans="1:32" ht="12.75" customHeight="1" x14ac:dyDescent="0.35">
      <c r="A264" s="17"/>
      <c r="B264" s="17"/>
      <c r="C264" s="17"/>
      <c r="D264" s="17"/>
      <c r="E264" s="17"/>
      <c r="F264" s="36" t="str">
        <f t="shared" ca="1" si="27"/>
        <v>-</v>
      </c>
      <c r="G264" s="93">
        <f t="shared" si="28"/>
        <v>0</v>
      </c>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row>
    <row r="265" spans="1:32" ht="12.75" customHeight="1" x14ac:dyDescent="0.35">
      <c r="A265" s="17"/>
      <c r="B265" s="17"/>
      <c r="C265" s="17"/>
      <c r="D265" s="17"/>
      <c r="E265" s="17"/>
      <c r="F265" s="36" t="str">
        <f t="shared" ca="1" si="27"/>
        <v>-</v>
      </c>
      <c r="G265" s="93">
        <f t="shared" si="28"/>
        <v>0</v>
      </c>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row>
    <row r="266" spans="1:32" ht="12.75" customHeight="1" x14ac:dyDescent="0.35">
      <c r="A266" s="17"/>
      <c r="B266" s="17"/>
      <c r="C266" s="17"/>
      <c r="D266" s="17"/>
      <c r="E266" s="17"/>
      <c r="F266" s="36" t="str">
        <f t="shared" ca="1" si="27"/>
        <v>-</v>
      </c>
      <c r="G266" s="93">
        <f t="shared" si="28"/>
        <v>0</v>
      </c>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row>
    <row r="267" spans="1:32" ht="12.75" customHeight="1" x14ac:dyDescent="0.35">
      <c r="A267" s="17"/>
      <c r="B267" s="17"/>
      <c r="C267" s="17"/>
      <c r="D267" s="17"/>
      <c r="E267" s="17"/>
      <c r="F267" s="36" t="str">
        <f t="shared" ca="1" si="27"/>
        <v>-</v>
      </c>
      <c r="G267" s="93">
        <f t="shared" si="28"/>
        <v>0</v>
      </c>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row>
    <row r="268" spans="1:32" ht="12.75" customHeight="1" x14ac:dyDescent="0.35">
      <c r="A268" s="17"/>
      <c r="B268" s="17"/>
      <c r="C268" s="17"/>
      <c r="D268" s="17"/>
      <c r="E268" s="17"/>
      <c r="F268" s="36" t="str">
        <f t="shared" ca="1" si="27"/>
        <v>-</v>
      </c>
      <c r="G268" s="1248">
        <v>0</v>
      </c>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row>
    <row r="269" spans="1:32" ht="12.75" customHeight="1" x14ac:dyDescent="0.35">
      <c r="A269" s="17"/>
      <c r="B269" s="17"/>
      <c r="C269" s="17"/>
      <c r="D269" s="17"/>
      <c r="E269" s="17"/>
      <c r="F269" s="36" t="str">
        <f t="shared" ca="1" si="27"/>
        <v>-</v>
      </c>
      <c r="G269" s="93">
        <f t="shared" si="28"/>
        <v>0</v>
      </c>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row>
    <row r="270" spans="1:32" ht="12.75" customHeight="1" x14ac:dyDescent="0.35">
      <c r="A270" s="17"/>
      <c r="B270" s="17"/>
      <c r="C270" s="17"/>
      <c r="D270" s="17"/>
      <c r="E270" s="17"/>
      <c r="F270" s="36" t="str">
        <f t="shared" ca="1" si="27"/>
        <v>-</v>
      </c>
      <c r="G270" s="1248">
        <v>0</v>
      </c>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row>
    <row r="271" spans="1:32" ht="12.75" customHeight="1" x14ac:dyDescent="0.35">
      <c r="A271" s="17"/>
      <c r="B271" s="17"/>
      <c r="C271" s="17"/>
      <c r="D271" s="17"/>
      <c r="E271" s="17"/>
      <c r="F271" s="36" t="str">
        <f t="shared" ca="1" si="27"/>
        <v>-</v>
      </c>
      <c r="G271" s="93">
        <f t="shared" si="28"/>
        <v>0</v>
      </c>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row>
    <row r="272" spans="1:32" ht="12.75" customHeight="1" x14ac:dyDescent="0.35">
      <c r="A272" s="17"/>
      <c r="B272" s="17"/>
      <c r="C272" s="17"/>
      <c r="D272" s="17"/>
      <c r="E272" s="17"/>
      <c r="F272" s="36" t="str">
        <f t="shared" ca="1" si="27"/>
        <v>-</v>
      </c>
      <c r="G272" s="1248">
        <v>0</v>
      </c>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row>
    <row r="273" spans="1:32" ht="12.75" customHeight="1" x14ac:dyDescent="0.35">
      <c r="A273" s="17"/>
      <c r="B273" s="17"/>
      <c r="C273" s="17"/>
      <c r="D273" s="17"/>
      <c r="E273" s="17"/>
      <c r="F273" s="36" t="str">
        <f t="shared" ca="1" si="27"/>
        <v>-</v>
      </c>
      <c r="G273" s="93">
        <f t="shared" si="28"/>
        <v>0</v>
      </c>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row>
    <row r="274" spans="1:32" ht="12.75" customHeight="1" x14ac:dyDescent="0.35">
      <c r="A274" s="17"/>
      <c r="B274" s="17"/>
      <c r="C274" s="17"/>
      <c r="D274" s="17"/>
      <c r="E274" s="17"/>
      <c r="F274" s="43" t="str">
        <f t="shared" ca="1" si="27"/>
        <v>-</v>
      </c>
      <c r="G274" s="95">
        <f t="shared" si="28"/>
        <v>0</v>
      </c>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row>
    <row r="275" spans="1:32" ht="12.75" customHeight="1" x14ac:dyDescent="0.35">
      <c r="A275" s="17"/>
      <c r="B275" s="17"/>
      <c r="C275" s="17"/>
      <c r="D275" s="17"/>
      <c r="E275" s="17"/>
      <c r="F275" s="96" t="s">
        <v>2429</v>
      </c>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row>
    <row r="276" spans="1:32" ht="12.75" customHeight="1" x14ac:dyDescent="0.35">
      <c r="A276" s="17"/>
      <c r="B276" s="17"/>
      <c r="C276" s="17"/>
      <c r="D276" s="17"/>
      <c r="E276" s="17"/>
      <c r="F276" s="85">
        <f ca="1">IF(AND(G276&lt;&gt;G278,G279&lt;&gt;0),IF(G276&gt;-G279,G276,G278),G276)</f>
        <v>0</v>
      </c>
      <c r="G276" s="17">
        <f ca="1">MIN(F253:F274)</f>
        <v>0</v>
      </c>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row>
    <row r="277" spans="1:32" ht="12.75" customHeight="1" x14ac:dyDescent="0.35">
      <c r="A277" s="17"/>
      <c r="B277" s="17"/>
      <c r="C277" s="17"/>
      <c r="D277" s="17"/>
      <c r="E277" s="17"/>
      <c r="F277" s="85" t="s">
        <v>2430</v>
      </c>
      <c r="G277" s="17">
        <f ca="1">ABS(SUMIF(PreTaxCashFlowEquity,"&gt;0")/-SUMIF(PreTaxCashFlowEquity,"&lt;0")-1)</f>
        <v>5.2656680364289414</v>
      </c>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row>
    <row r="278" spans="1:32" ht="12.75" customHeight="1" x14ac:dyDescent="0.35">
      <c r="A278" s="17"/>
      <c r="B278" s="17"/>
      <c r="C278" s="17"/>
      <c r="D278" s="17"/>
      <c r="E278" s="17"/>
      <c r="F278" s="85">
        <f ca="1">IF(AND(G276&lt;&gt;G278,G279&lt;&gt;0),IF(G278&gt;-G279,G278,G276),G278)</f>
        <v>0</v>
      </c>
      <c r="G278" s="17">
        <f ca="1">MAX(F253:F274)</f>
        <v>0</v>
      </c>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row>
    <row r="279" spans="1:32" x14ac:dyDescent="0.35">
      <c r="A279" s="17"/>
      <c r="G279" s="97">
        <f ca="1">IF(ISERROR(G277),0,G277)</f>
        <v>5.2656680364289414</v>
      </c>
      <c r="I279" s="17"/>
      <c r="O279" s="17"/>
    </row>
    <row r="280" spans="1:32" x14ac:dyDescent="0.35">
      <c r="A280" s="17"/>
      <c r="I280" s="17"/>
      <c r="O280" s="17"/>
    </row>
    <row r="281" spans="1:32" x14ac:dyDescent="0.35">
      <c r="A281" s="17"/>
      <c r="I281" s="17"/>
    </row>
    <row r="282" spans="1:32" x14ac:dyDescent="0.35">
      <c r="A282" s="17"/>
    </row>
    <row r="283" spans="1:32" x14ac:dyDescent="0.35">
      <c r="A283" s="17"/>
    </row>
  </sheetData>
  <printOptions horizontalCentered="1" verticalCentered="1" headings="1" gridLines="1"/>
  <pageMargins left="0.35433070866141736" right="0.35433070866141736" top="0.98425196850393704" bottom="0.98425196850393704" header="0.51181102362204722" footer="0.51181102362204722"/>
  <pageSetup paperSize="9" orientation="landscape" r:id="rId1"/>
  <headerFooter>
    <oddHeader>&amp;C&amp;A</oddHeader>
    <oddFooter>&amp;CPage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autoPageBreaks="0"/>
  </sheetPr>
  <dimension ref="A1:H66"/>
  <sheetViews>
    <sheetView workbookViewId="0">
      <pane ySplit="1" topLeftCell="A2" activePane="bottomLeft" state="frozen"/>
      <selection pane="bottomLeft" activeCell="D2" sqref="D2"/>
    </sheetView>
  </sheetViews>
  <sheetFormatPr defaultColWidth="9.1796875" defaultRowHeight="14.5" x14ac:dyDescent="0.35"/>
  <cols>
    <col min="1" max="1" width="15.54296875" style="97" customWidth="1"/>
    <col min="2" max="2" width="10.7265625" style="97" customWidth="1"/>
    <col min="3" max="3" width="12.1796875" style="97" customWidth="1"/>
    <col min="4" max="4" width="13.1796875" style="97" customWidth="1"/>
    <col min="5" max="5" width="15.1796875" style="97" customWidth="1"/>
    <col min="6" max="6" width="16.1796875" style="97" customWidth="1"/>
    <col min="7" max="7" width="13.453125" style="97" customWidth="1"/>
    <col min="8" max="8" width="20.54296875" style="97" customWidth="1"/>
    <col min="9" max="16384" width="9.1796875" style="97"/>
  </cols>
  <sheetData>
    <row r="1" spans="1:8" ht="12.75" customHeight="1" x14ac:dyDescent="0.35">
      <c r="A1" s="98" t="s">
        <v>2431</v>
      </c>
      <c r="B1" s="98" t="s">
        <v>2432</v>
      </c>
      <c r="C1" s="98" t="s">
        <v>2433</v>
      </c>
      <c r="D1" s="17" t="s">
        <v>2434</v>
      </c>
      <c r="E1" s="98" t="s">
        <v>2435</v>
      </c>
      <c r="F1" s="98" t="s">
        <v>2436</v>
      </c>
      <c r="G1" s="98" t="s">
        <v>2437</v>
      </c>
      <c r="H1" s="98" t="s">
        <v>2438</v>
      </c>
    </row>
    <row r="2" spans="1:8" ht="12.75" customHeight="1" x14ac:dyDescent="0.35">
      <c r="A2" s="99" t="str">
        <f>Calculations!$G$631</f>
        <v>9/2019</v>
      </c>
      <c r="B2" s="99">
        <f>Calculations!$G$680+IF(OR(InvOrAcq=2,InvFileType=2),ResultNetDebt,0)</f>
        <v>0</v>
      </c>
      <c r="C2" s="99">
        <f ca="1">Calculations!$G$668</f>
        <v>0</v>
      </c>
      <c r="D2" s="99">
        <f ca="1">+Calculations!$G$686-IF(OR(InvOrAcq=2,InvFileType=2),ResultNetDebt,0)</f>
        <v>0</v>
      </c>
      <c r="E2" s="99">
        <f t="shared" ref="E2:E33" ca="1" si="0">$B2-IF(ValueInUseWithTax=1,0,$C2)</f>
        <v>0</v>
      </c>
      <c r="F2" s="99">
        <f t="shared" ref="F2:F33" ca="1" si="1">$B2+$D2</f>
        <v>0</v>
      </c>
      <c r="G2" s="99">
        <f>SUM(Calculations!$G$516)</f>
        <v>0</v>
      </c>
      <c r="H2" s="99">
        <f t="shared" ref="H2:H33" ca="1" si="2">-$C2+$F2</f>
        <v>0</v>
      </c>
    </row>
    <row r="3" spans="1:8" ht="12.75" customHeight="1" x14ac:dyDescent="0.35">
      <c r="A3" s="98" t="str">
        <f>Calculations!$H$631</f>
        <v>9/2019</v>
      </c>
      <c r="B3" s="99">
        <f ca="1">Calculations!$H$680</f>
        <v>-2537900</v>
      </c>
      <c r="C3" s="99">
        <f ca="1">Calculations!$H$668</f>
        <v>0</v>
      </c>
      <c r="D3" s="99">
        <f ca="1">+Calculations!$H$686</f>
        <v>0</v>
      </c>
      <c r="E3" s="99">
        <f t="shared" ca="1" si="0"/>
        <v>-2537900</v>
      </c>
      <c r="F3" s="99">
        <f t="shared" ca="1" si="1"/>
        <v>-2537900</v>
      </c>
      <c r="G3" s="99">
        <f ca="1">SUM(Calculations!$H$516)</f>
        <v>0</v>
      </c>
      <c r="H3" s="99">
        <f t="shared" ca="1" si="2"/>
        <v>-2537900</v>
      </c>
    </row>
    <row r="4" spans="1:8" ht="12.75" customHeight="1" x14ac:dyDescent="0.35">
      <c r="A4" s="98" t="str">
        <f>Calculations!$I$631</f>
        <v>10/2019</v>
      </c>
      <c r="B4" s="99">
        <f ca="1">Calculations!$I$680</f>
        <v>-761540.845335969</v>
      </c>
      <c r="C4" s="99">
        <f ca="1">Calculations!$I$668</f>
        <v>0</v>
      </c>
      <c r="D4" s="99">
        <f ca="1">+Calculations!$I$686</f>
        <v>0</v>
      </c>
      <c r="E4" s="99">
        <f t="shared" ca="1" si="0"/>
        <v>-761540.845335969</v>
      </c>
      <c r="F4" s="99">
        <f t="shared" ca="1" si="1"/>
        <v>-761540.845335969</v>
      </c>
      <c r="G4" s="99">
        <f ca="1">SUM(Calculations!$I$516)</f>
        <v>0</v>
      </c>
      <c r="H4" s="99">
        <f t="shared" ca="1" si="2"/>
        <v>-761540.845335969</v>
      </c>
    </row>
    <row r="5" spans="1:8" ht="12.75" customHeight="1" x14ac:dyDescent="0.35">
      <c r="A5" s="98" t="str">
        <f>Calculations!$J$631</f>
        <v>11/2019</v>
      </c>
      <c r="B5" s="99">
        <f ca="1">Calculations!$J$680</f>
        <v>-281840.45829997584</v>
      </c>
      <c r="C5" s="99">
        <f ca="1">Calculations!$J$668</f>
        <v>0</v>
      </c>
      <c r="D5" s="99">
        <f ca="1">+Calculations!$J$686</f>
        <v>0</v>
      </c>
      <c r="E5" s="99">
        <f t="shared" ca="1" si="0"/>
        <v>-281840.45829997584</v>
      </c>
      <c r="F5" s="99">
        <f t="shared" ca="1" si="1"/>
        <v>-281840.45829997584</v>
      </c>
      <c r="G5" s="99">
        <f ca="1">SUM(Calculations!$J$516)</f>
        <v>0</v>
      </c>
      <c r="H5" s="99">
        <f t="shared" ca="1" si="2"/>
        <v>-281840.45829997584</v>
      </c>
    </row>
    <row r="6" spans="1:8" ht="12.75" customHeight="1" x14ac:dyDescent="0.35">
      <c r="A6" s="98" t="str">
        <f>Calculations!$K$631</f>
        <v>12/2019</v>
      </c>
      <c r="B6" s="99">
        <f ca="1">Calculations!$K$680</f>
        <v>-357256.15830286831</v>
      </c>
      <c r="C6" s="99">
        <f ca="1">Calculations!$K$668</f>
        <v>-79989.30847144431</v>
      </c>
      <c r="D6" s="99">
        <f ca="1">+Calculations!$K$686</f>
        <v>0</v>
      </c>
      <c r="E6" s="99">
        <f t="shared" ca="1" si="0"/>
        <v>-277266.84983142401</v>
      </c>
      <c r="F6" s="99">
        <f t="shared" ca="1" si="1"/>
        <v>-357256.15830286831</v>
      </c>
      <c r="G6" s="99">
        <f ca="1">SUM(Calculations!$K$516)</f>
        <v>91720.626195630175</v>
      </c>
      <c r="H6" s="99">
        <f t="shared" ca="1" si="2"/>
        <v>-277266.84983142401</v>
      </c>
    </row>
    <row r="7" spans="1:8" ht="12.75" customHeight="1" x14ac:dyDescent="0.35">
      <c r="A7" s="98" t="s">
        <v>39</v>
      </c>
      <c r="B7" s="98">
        <v>0</v>
      </c>
      <c r="C7" s="98">
        <v>0</v>
      </c>
      <c r="D7" s="98">
        <v>0</v>
      </c>
      <c r="E7" s="99">
        <f t="shared" si="0"/>
        <v>0</v>
      </c>
      <c r="F7" s="99">
        <f t="shared" si="1"/>
        <v>0</v>
      </c>
      <c r="G7" s="98">
        <v>0</v>
      </c>
      <c r="H7" s="99">
        <f t="shared" si="2"/>
        <v>0</v>
      </c>
    </row>
    <row r="8" spans="1:8" ht="12.75" customHeight="1" x14ac:dyDescent="0.35">
      <c r="A8" s="98" t="s">
        <v>39</v>
      </c>
      <c r="B8" s="99">
        <v>0</v>
      </c>
      <c r="C8" s="99">
        <v>0</v>
      </c>
      <c r="D8" s="98">
        <v>0</v>
      </c>
      <c r="E8" s="99">
        <f t="shared" si="0"/>
        <v>0</v>
      </c>
      <c r="F8" s="99">
        <f t="shared" si="1"/>
        <v>0</v>
      </c>
      <c r="G8" s="98">
        <v>0</v>
      </c>
      <c r="H8" s="99">
        <f t="shared" si="2"/>
        <v>0</v>
      </c>
    </row>
    <row r="9" spans="1:8" ht="12.75" customHeight="1" x14ac:dyDescent="0.35">
      <c r="A9" s="98" t="s">
        <v>39</v>
      </c>
      <c r="B9" s="98">
        <v>0</v>
      </c>
      <c r="C9" s="98">
        <v>0</v>
      </c>
      <c r="D9" s="98">
        <v>0</v>
      </c>
      <c r="E9" s="99">
        <f t="shared" si="0"/>
        <v>0</v>
      </c>
      <c r="F9" s="99">
        <f t="shared" si="1"/>
        <v>0</v>
      </c>
      <c r="G9" s="98">
        <v>0</v>
      </c>
      <c r="H9" s="99">
        <f t="shared" si="2"/>
        <v>0</v>
      </c>
    </row>
    <row r="10" spans="1:8" ht="12.75" customHeight="1" x14ac:dyDescent="0.35">
      <c r="A10" s="98" t="s">
        <v>39</v>
      </c>
      <c r="B10" s="98">
        <v>0</v>
      </c>
      <c r="C10" s="98">
        <v>0</v>
      </c>
      <c r="D10" s="98">
        <v>0</v>
      </c>
      <c r="E10" s="99">
        <f t="shared" si="0"/>
        <v>0</v>
      </c>
      <c r="F10" s="99">
        <f t="shared" si="1"/>
        <v>0</v>
      </c>
      <c r="G10" s="98">
        <v>0</v>
      </c>
      <c r="H10" s="99">
        <f t="shared" si="2"/>
        <v>0</v>
      </c>
    </row>
    <row r="11" spans="1:8" ht="12.75" customHeight="1" x14ac:dyDescent="0.35">
      <c r="A11" s="98" t="s">
        <v>39</v>
      </c>
      <c r="B11" s="99">
        <v>0</v>
      </c>
      <c r="C11" s="99">
        <v>0</v>
      </c>
      <c r="D11" s="98">
        <v>0</v>
      </c>
      <c r="E11" s="99">
        <f t="shared" si="0"/>
        <v>0</v>
      </c>
      <c r="F11" s="99">
        <f t="shared" si="1"/>
        <v>0</v>
      </c>
      <c r="G11" s="98">
        <v>0</v>
      </c>
      <c r="H11" s="99">
        <f t="shared" si="2"/>
        <v>0</v>
      </c>
    </row>
    <row r="12" spans="1:8" ht="12.75" customHeight="1" x14ac:dyDescent="0.35">
      <c r="A12" s="98" t="s">
        <v>39</v>
      </c>
      <c r="B12" s="98">
        <f>IF(MYDisc,Calculations!$L$680,0)</f>
        <v>0</v>
      </c>
      <c r="C12" s="98">
        <f>IF(MYDisc,Calculations!$L$668,0)</f>
        <v>0</v>
      </c>
      <c r="D12" s="98">
        <f>IF(MYDisc,+Calculations!$L$686,0)</f>
        <v>0</v>
      </c>
      <c r="E12" s="99">
        <f t="shared" si="0"/>
        <v>0</v>
      </c>
      <c r="F12" s="99">
        <f t="shared" si="1"/>
        <v>0</v>
      </c>
      <c r="G12" s="98">
        <f>IF(MYDisc,SUM(Calculations!$L$516),0)</f>
        <v>0</v>
      </c>
      <c r="H12" s="99">
        <f t="shared" si="2"/>
        <v>0</v>
      </c>
    </row>
    <row r="13" spans="1:8" ht="12.75" customHeight="1" x14ac:dyDescent="0.35">
      <c r="A13" s="98" t="s">
        <v>39</v>
      </c>
      <c r="B13" s="98">
        <v>0</v>
      </c>
      <c r="C13" s="98">
        <v>0</v>
      </c>
      <c r="D13" s="98">
        <v>0</v>
      </c>
      <c r="E13" s="99">
        <f t="shared" si="0"/>
        <v>0</v>
      </c>
      <c r="F13" s="99">
        <f t="shared" si="1"/>
        <v>0</v>
      </c>
      <c r="G13" s="98">
        <v>0</v>
      </c>
      <c r="H13" s="99">
        <f t="shared" si="2"/>
        <v>0</v>
      </c>
    </row>
    <row r="14" spans="1:8" ht="12.75" customHeight="1" x14ac:dyDescent="0.35">
      <c r="A14" s="99" t="s">
        <v>39</v>
      </c>
      <c r="B14" s="99">
        <v>0</v>
      </c>
      <c r="C14" s="99">
        <v>0</v>
      </c>
      <c r="D14" s="99">
        <v>0</v>
      </c>
      <c r="E14" s="99">
        <f t="shared" si="0"/>
        <v>0</v>
      </c>
      <c r="F14" s="99">
        <f t="shared" si="1"/>
        <v>0</v>
      </c>
      <c r="G14" s="99">
        <v>0</v>
      </c>
      <c r="H14" s="99">
        <f t="shared" si="2"/>
        <v>0</v>
      </c>
    </row>
    <row r="15" spans="1:8" ht="12.75" customHeight="1" x14ac:dyDescent="0.35">
      <c r="A15" s="98" t="s">
        <v>39</v>
      </c>
      <c r="B15" s="98">
        <v>0</v>
      </c>
      <c r="C15" s="98">
        <v>0</v>
      </c>
      <c r="D15" s="98">
        <v>0</v>
      </c>
      <c r="E15" s="99">
        <f t="shared" si="0"/>
        <v>0</v>
      </c>
      <c r="F15" s="99">
        <f t="shared" si="1"/>
        <v>0</v>
      </c>
      <c r="G15" s="98">
        <v>0</v>
      </c>
      <c r="H15" s="99">
        <f t="shared" si="2"/>
        <v>0</v>
      </c>
    </row>
    <row r="16" spans="1:8" ht="12.75" customHeight="1" x14ac:dyDescent="0.35">
      <c r="A16" s="98" t="s">
        <v>39</v>
      </c>
      <c r="B16" s="98">
        <v>0</v>
      </c>
      <c r="C16" s="98">
        <v>0</v>
      </c>
      <c r="D16" s="98">
        <v>0</v>
      </c>
      <c r="E16" s="99">
        <f t="shared" si="0"/>
        <v>0</v>
      </c>
      <c r="F16" s="99">
        <f t="shared" si="1"/>
        <v>0</v>
      </c>
      <c r="G16" s="98">
        <v>0</v>
      </c>
      <c r="H16" s="99">
        <f t="shared" si="2"/>
        <v>0</v>
      </c>
    </row>
    <row r="17" spans="1:8" ht="12.75" customHeight="1" x14ac:dyDescent="0.35">
      <c r="A17" s="98" t="s">
        <v>39</v>
      </c>
      <c r="B17" s="99">
        <v>0</v>
      </c>
      <c r="C17" s="99">
        <v>0</v>
      </c>
      <c r="D17" s="98">
        <v>0</v>
      </c>
      <c r="E17" s="99">
        <f t="shared" si="0"/>
        <v>0</v>
      </c>
      <c r="F17" s="99">
        <f t="shared" si="1"/>
        <v>0</v>
      </c>
      <c r="G17" s="98">
        <v>0</v>
      </c>
      <c r="H17" s="99">
        <f t="shared" si="2"/>
        <v>0</v>
      </c>
    </row>
    <row r="18" spans="1:8" ht="12.75" customHeight="1" x14ac:dyDescent="0.35">
      <c r="A18" s="98" t="str">
        <f>Calculations!$L$631</f>
        <v>12/2020</v>
      </c>
      <c r="B18" s="98">
        <f ca="1">IF(NOT(MYDisc),Calculations!$L$680,0)</f>
        <v>1305902.8051232728</v>
      </c>
      <c r="C18" s="98">
        <f ca="1">IF(NOT(MYDisc),Calculations!$L$668,0)</f>
        <v>-470950.74946412235</v>
      </c>
      <c r="D18" s="98">
        <f ca="1">IF(NOT(MYDisc),+Calculations!$L$686,0)</f>
        <v>0</v>
      </c>
      <c r="E18" s="99">
        <f t="shared" ca="1" si="0"/>
        <v>1776853.5545873952</v>
      </c>
      <c r="F18" s="99">
        <f t="shared" ca="1" si="1"/>
        <v>1305902.8051232728</v>
      </c>
      <c r="G18" s="98">
        <f ca="1">IF(NOT(MYDisc),SUM(Calculations!$L$516),0)</f>
        <v>1098354.7365340514</v>
      </c>
      <c r="H18" s="99">
        <f t="shared" ca="1" si="2"/>
        <v>1776853.5545873952</v>
      </c>
    </row>
    <row r="19" spans="1:8" ht="12.75" customHeight="1" x14ac:dyDescent="0.35">
      <c r="A19" s="98" t="s">
        <v>39</v>
      </c>
      <c r="B19" s="98">
        <v>0</v>
      </c>
      <c r="C19" s="98">
        <v>0</v>
      </c>
      <c r="D19" s="98">
        <v>0</v>
      </c>
      <c r="E19" s="99">
        <f t="shared" si="0"/>
        <v>0</v>
      </c>
      <c r="F19" s="99">
        <f t="shared" si="1"/>
        <v>0</v>
      </c>
      <c r="G19" s="98">
        <v>0</v>
      </c>
      <c r="H19" s="99">
        <f t="shared" si="2"/>
        <v>0</v>
      </c>
    </row>
    <row r="20" spans="1:8" ht="12.75" customHeight="1" x14ac:dyDescent="0.35">
      <c r="A20" s="98" t="s">
        <v>39</v>
      </c>
      <c r="B20" s="99">
        <v>0</v>
      </c>
      <c r="C20" s="99">
        <v>0</v>
      </c>
      <c r="D20" s="98">
        <v>0</v>
      </c>
      <c r="E20" s="99">
        <f t="shared" si="0"/>
        <v>0</v>
      </c>
      <c r="F20" s="99">
        <f t="shared" si="1"/>
        <v>0</v>
      </c>
      <c r="G20" s="98">
        <v>0</v>
      </c>
      <c r="H20" s="99">
        <f t="shared" si="2"/>
        <v>0</v>
      </c>
    </row>
    <row r="21" spans="1:8" ht="12.75" customHeight="1" x14ac:dyDescent="0.35">
      <c r="A21" s="98" t="s">
        <v>39</v>
      </c>
      <c r="B21" s="98">
        <v>0</v>
      </c>
      <c r="C21" s="98">
        <v>0</v>
      </c>
      <c r="D21" s="98">
        <v>0</v>
      </c>
      <c r="E21" s="99">
        <f t="shared" si="0"/>
        <v>0</v>
      </c>
      <c r="F21" s="99">
        <f t="shared" si="1"/>
        <v>0</v>
      </c>
      <c r="G21" s="98">
        <v>0</v>
      </c>
      <c r="H21" s="99">
        <f t="shared" si="2"/>
        <v>0</v>
      </c>
    </row>
    <row r="22" spans="1:8" ht="12.75" customHeight="1" x14ac:dyDescent="0.35">
      <c r="A22" s="98" t="s">
        <v>39</v>
      </c>
      <c r="B22" s="98">
        <v>0</v>
      </c>
      <c r="C22" s="98">
        <v>0</v>
      </c>
      <c r="D22" s="98">
        <v>0</v>
      </c>
      <c r="E22" s="99">
        <f t="shared" si="0"/>
        <v>0</v>
      </c>
      <c r="F22" s="99">
        <f t="shared" si="1"/>
        <v>0</v>
      </c>
      <c r="G22" s="98">
        <v>0</v>
      </c>
      <c r="H22" s="99">
        <f t="shared" si="2"/>
        <v>0</v>
      </c>
    </row>
    <row r="23" spans="1:8" ht="12.75" customHeight="1" x14ac:dyDescent="0.35">
      <c r="A23" s="98" t="s">
        <v>39</v>
      </c>
      <c r="B23" s="99">
        <v>0</v>
      </c>
      <c r="C23" s="99">
        <v>0</v>
      </c>
      <c r="D23" s="98">
        <v>0</v>
      </c>
      <c r="E23" s="99">
        <f t="shared" si="0"/>
        <v>0</v>
      </c>
      <c r="F23" s="99">
        <f t="shared" si="1"/>
        <v>0</v>
      </c>
      <c r="G23" s="98">
        <v>0</v>
      </c>
      <c r="H23" s="99">
        <f t="shared" si="2"/>
        <v>0</v>
      </c>
    </row>
    <row r="24" spans="1:8" ht="12.75" customHeight="1" x14ac:dyDescent="0.35">
      <c r="A24" s="98" t="s">
        <v>39</v>
      </c>
      <c r="B24" s="98">
        <f>IF(MYDisc,Calculations!$M$680,0)</f>
        <v>0</v>
      </c>
      <c r="C24" s="98">
        <f>IF(MYDisc,Calculations!$M$668,0)</f>
        <v>0</v>
      </c>
      <c r="D24" s="98">
        <f>IF(MYDisc,+Calculations!$M$686,0)</f>
        <v>0</v>
      </c>
      <c r="E24" s="99">
        <f t="shared" si="0"/>
        <v>0</v>
      </c>
      <c r="F24" s="99">
        <f t="shared" si="1"/>
        <v>0</v>
      </c>
      <c r="G24" s="98">
        <f>IF(MYDisc,SUM(Calculations!$M$516),0)</f>
        <v>0</v>
      </c>
      <c r="H24" s="99">
        <f t="shared" si="2"/>
        <v>0</v>
      </c>
    </row>
    <row r="25" spans="1:8" ht="12.75" customHeight="1" x14ac:dyDescent="0.35">
      <c r="A25" s="98" t="s">
        <v>39</v>
      </c>
      <c r="B25" s="98">
        <v>0</v>
      </c>
      <c r="C25" s="98">
        <v>0</v>
      </c>
      <c r="D25" s="98">
        <v>0</v>
      </c>
      <c r="E25" s="99">
        <f t="shared" si="0"/>
        <v>0</v>
      </c>
      <c r="F25" s="99">
        <f t="shared" si="1"/>
        <v>0</v>
      </c>
      <c r="G25" s="98">
        <v>0</v>
      </c>
      <c r="H25" s="99">
        <f t="shared" si="2"/>
        <v>0</v>
      </c>
    </row>
    <row r="26" spans="1:8" ht="12.75" customHeight="1" x14ac:dyDescent="0.35">
      <c r="A26" s="99" t="s">
        <v>39</v>
      </c>
      <c r="B26" s="99">
        <v>0</v>
      </c>
      <c r="C26" s="99">
        <v>0</v>
      </c>
      <c r="D26" s="99">
        <v>0</v>
      </c>
      <c r="E26" s="99">
        <f t="shared" si="0"/>
        <v>0</v>
      </c>
      <c r="F26" s="99">
        <f t="shared" si="1"/>
        <v>0</v>
      </c>
      <c r="G26" s="99">
        <v>0</v>
      </c>
      <c r="H26" s="99">
        <f t="shared" si="2"/>
        <v>0</v>
      </c>
    </row>
    <row r="27" spans="1:8" ht="12.75" customHeight="1" x14ac:dyDescent="0.35">
      <c r="A27" s="98" t="s">
        <v>39</v>
      </c>
      <c r="B27" s="98">
        <v>0</v>
      </c>
      <c r="C27" s="98">
        <v>0</v>
      </c>
      <c r="D27" s="98">
        <v>0</v>
      </c>
      <c r="E27" s="99">
        <f t="shared" si="0"/>
        <v>0</v>
      </c>
      <c r="F27" s="99">
        <f t="shared" si="1"/>
        <v>0</v>
      </c>
      <c r="G27" s="98">
        <v>0</v>
      </c>
      <c r="H27" s="99">
        <f t="shared" si="2"/>
        <v>0</v>
      </c>
    </row>
    <row r="28" spans="1:8" ht="12.75" customHeight="1" x14ac:dyDescent="0.35">
      <c r="A28" s="98" t="s">
        <v>39</v>
      </c>
      <c r="B28" s="98">
        <v>0</v>
      </c>
      <c r="C28" s="98">
        <v>0</v>
      </c>
      <c r="D28" s="98">
        <v>0</v>
      </c>
      <c r="E28" s="99">
        <f t="shared" si="0"/>
        <v>0</v>
      </c>
      <c r="F28" s="99">
        <f t="shared" si="1"/>
        <v>0</v>
      </c>
      <c r="G28" s="98">
        <v>0</v>
      </c>
      <c r="H28" s="99">
        <f t="shared" si="2"/>
        <v>0</v>
      </c>
    </row>
    <row r="29" spans="1:8" ht="12.75" customHeight="1" x14ac:dyDescent="0.35">
      <c r="A29" s="98" t="s">
        <v>39</v>
      </c>
      <c r="B29" s="99">
        <v>0</v>
      </c>
      <c r="C29" s="99">
        <v>0</v>
      </c>
      <c r="D29" s="98">
        <v>0</v>
      </c>
      <c r="E29" s="99">
        <f t="shared" si="0"/>
        <v>0</v>
      </c>
      <c r="F29" s="99">
        <f t="shared" si="1"/>
        <v>0</v>
      </c>
      <c r="G29" s="98">
        <v>0</v>
      </c>
      <c r="H29" s="99">
        <f t="shared" si="2"/>
        <v>0</v>
      </c>
    </row>
    <row r="30" spans="1:8" ht="12.75" customHeight="1" x14ac:dyDescent="0.35">
      <c r="A30" s="98" t="str">
        <f>Calculations!$M$631</f>
        <v>12/2021</v>
      </c>
      <c r="B30" s="98">
        <f ca="1">IF(NOT(MYDisc),Calculations!$M$680,0)</f>
        <v>1734438.0116514824</v>
      </c>
      <c r="C30" s="98">
        <f ca="1">IF(NOT(MYDisc),Calculations!$M$668,0)</f>
        <v>-757270.54309355002</v>
      </c>
      <c r="D30" s="98">
        <f ca="1">IF(NOT(MYDisc),+Calculations!$M$686,0)</f>
        <v>0</v>
      </c>
      <c r="E30" s="99">
        <f t="shared" ca="1" si="0"/>
        <v>2491708.5547450325</v>
      </c>
      <c r="F30" s="99">
        <f t="shared" ca="1" si="1"/>
        <v>1734438.0116514824</v>
      </c>
      <c r="G30" s="98">
        <f ca="1">IF(NOT(MYDisc),SUM(Calculations!$M$516),0)</f>
        <v>1832983.9249678</v>
      </c>
      <c r="H30" s="99">
        <f t="shared" ca="1" si="2"/>
        <v>2491708.5547450325</v>
      </c>
    </row>
    <row r="31" spans="1:8" ht="12.75" customHeight="1" x14ac:dyDescent="0.35">
      <c r="A31" s="98" t="s">
        <v>39</v>
      </c>
      <c r="B31" s="98">
        <v>0</v>
      </c>
      <c r="C31" s="98">
        <v>0</v>
      </c>
      <c r="D31" s="98">
        <v>0</v>
      </c>
      <c r="E31" s="99">
        <f t="shared" si="0"/>
        <v>0</v>
      </c>
      <c r="F31" s="99">
        <f t="shared" si="1"/>
        <v>0</v>
      </c>
      <c r="G31" s="98">
        <v>0</v>
      </c>
      <c r="H31" s="99">
        <f t="shared" si="2"/>
        <v>0</v>
      </c>
    </row>
    <row r="32" spans="1:8" ht="12.75" customHeight="1" x14ac:dyDescent="0.35">
      <c r="A32" s="98" t="s">
        <v>39</v>
      </c>
      <c r="B32" s="99">
        <v>0</v>
      </c>
      <c r="C32" s="99">
        <v>0</v>
      </c>
      <c r="D32" s="98">
        <v>0</v>
      </c>
      <c r="E32" s="99">
        <f t="shared" si="0"/>
        <v>0</v>
      </c>
      <c r="F32" s="99">
        <f t="shared" si="1"/>
        <v>0</v>
      </c>
      <c r="G32" s="98">
        <v>0</v>
      </c>
      <c r="H32" s="99">
        <f t="shared" si="2"/>
        <v>0</v>
      </c>
    </row>
    <row r="33" spans="1:8" ht="12.75" customHeight="1" x14ac:dyDescent="0.35">
      <c r="A33" s="98" t="s">
        <v>39</v>
      </c>
      <c r="B33" s="98">
        <v>0</v>
      </c>
      <c r="C33" s="98">
        <v>0</v>
      </c>
      <c r="D33" s="98">
        <v>0</v>
      </c>
      <c r="E33" s="99">
        <f t="shared" si="0"/>
        <v>0</v>
      </c>
      <c r="F33" s="99">
        <f t="shared" si="1"/>
        <v>0</v>
      </c>
      <c r="G33" s="98">
        <v>0</v>
      </c>
      <c r="H33" s="99">
        <f t="shared" si="2"/>
        <v>0</v>
      </c>
    </row>
    <row r="34" spans="1:8" ht="12.75" customHeight="1" x14ac:dyDescent="0.35">
      <c r="A34" s="98" t="s">
        <v>39</v>
      </c>
      <c r="B34" s="98">
        <v>0</v>
      </c>
      <c r="C34" s="98">
        <v>0</v>
      </c>
      <c r="D34" s="98">
        <v>0</v>
      </c>
      <c r="E34" s="99">
        <f t="shared" ref="E34:E66" si="3">$B34-IF(ValueInUseWithTax=1,0,$C34)</f>
        <v>0</v>
      </c>
      <c r="F34" s="99">
        <f t="shared" ref="F34:F65" si="4">$B34+$D34</f>
        <v>0</v>
      </c>
      <c r="G34" s="98">
        <v>0</v>
      </c>
      <c r="H34" s="99">
        <f t="shared" ref="H34:H66" si="5">-$C34+$F34</f>
        <v>0</v>
      </c>
    </row>
    <row r="35" spans="1:8" ht="12.75" customHeight="1" x14ac:dyDescent="0.35">
      <c r="A35" s="98" t="s">
        <v>39</v>
      </c>
      <c r="B35" s="99">
        <v>0</v>
      </c>
      <c r="C35" s="99">
        <v>0</v>
      </c>
      <c r="D35" s="98">
        <v>0</v>
      </c>
      <c r="E35" s="99">
        <f t="shared" si="3"/>
        <v>0</v>
      </c>
      <c r="F35" s="99">
        <f t="shared" si="4"/>
        <v>0</v>
      </c>
      <c r="G35" s="98">
        <v>0</v>
      </c>
      <c r="H35" s="99">
        <f t="shared" si="5"/>
        <v>0</v>
      </c>
    </row>
    <row r="36" spans="1:8" ht="12.75" customHeight="1" x14ac:dyDescent="0.35">
      <c r="A36" s="98" t="s">
        <v>39</v>
      </c>
      <c r="B36" s="98">
        <f>IF(MYDisc,Calculations!$N$680,0)</f>
        <v>0</v>
      </c>
      <c r="C36" s="98">
        <f>IF(MYDisc,Calculations!$N$668,0)</f>
        <v>0</v>
      </c>
      <c r="D36" s="98">
        <f>IF(MYDisc,+Calculations!$N$686,0)</f>
        <v>0</v>
      </c>
      <c r="E36" s="99">
        <f t="shared" si="3"/>
        <v>0</v>
      </c>
      <c r="F36" s="99">
        <f t="shared" si="4"/>
        <v>0</v>
      </c>
      <c r="G36" s="98">
        <f>IF(MYDisc,SUM(Calculations!$N$516),0)</f>
        <v>0</v>
      </c>
      <c r="H36" s="99">
        <f t="shared" si="5"/>
        <v>0</v>
      </c>
    </row>
    <row r="37" spans="1:8" ht="12.75" customHeight="1" x14ac:dyDescent="0.35">
      <c r="A37" s="98" t="s">
        <v>39</v>
      </c>
      <c r="B37" s="98">
        <v>0</v>
      </c>
      <c r="C37" s="98">
        <v>0</v>
      </c>
      <c r="D37" s="98">
        <v>0</v>
      </c>
      <c r="E37" s="99">
        <f t="shared" si="3"/>
        <v>0</v>
      </c>
      <c r="F37" s="99">
        <f t="shared" si="4"/>
        <v>0</v>
      </c>
      <c r="G37" s="98">
        <v>0</v>
      </c>
      <c r="H37" s="99">
        <f t="shared" si="5"/>
        <v>0</v>
      </c>
    </row>
    <row r="38" spans="1:8" ht="12.75" customHeight="1" x14ac:dyDescent="0.35">
      <c r="A38" s="99" t="s">
        <v>39</v>
      </c>
      <c r="B38" s="99">
        <v>0</v>
      </c>
      <c r="C38" s="99">
        <v>0</v>
      </c>
      <c r="D38" s="99">
        <v>0</v>
      </c>
      <c r="E38" s="99">
        <f t="shared" si="3"/>
        <v>0</v>
      </c>
      <c r="F38" s="99">
        <f t="shared" si="4"/>
        <v>0</v>
      </c>
      <c r="G38" s="99">
        <v>0</v>
      </c>
      <c r="H38" s="99">
        <f t="shared" si="5"/>
        <v>0</v>
      </c>
    </row>
    <row r="39" spans="1:8" ht="12.75" customHeight="1" x14ac:dyDescent="0.35">
      <c r="A39" s="98" t="s">
        <v>39</v>
      </c>
      <c r="B39" s="98">
        <v>0</v>
      </c>
      <c r="C39" s="98">
        <v>0</v>
      </c>
      <c r="D39" s="98">
        <v>0</v>
      </c>
      <c r="E39" s="99">
        <f t="shared" si="3"/>
        <v>0</v>
      </c>
      <c r="F39" s="99">
        <f t="shared" si="4"/>
        <v>0</v>
      </c>
      <c r="G39" s="98">
        <v>0</v>
      </c>
      <c r="H39" s="99">
        <f t="shared" si="5"/>
        <v>0</v>
      </c>
    </row>
    <row r="40" spans="1:8" ht="12.75" customHeight="1" x14ac:dyDescent="0.35">
      <c r="A40" s="98" t="s">
        <v>39</v>
      </c>
      <c r="B40" s="98">
        <v>0</v>
      </c>
      <c r="C40" s="98">
        <v>0</v>
      </c>
      <c r="D40" s="98">
        <v>0</v>
      </c>
      <c r="E40" s="99">
        <f t="shared" si="3"/>
        <v>0</v>
      </c>
      <c r="F40" s="99">
        <f t="shared" si="4"/>
        <v>0</v>
      </c>
      <c r="G40" s="98">
        <v>0</v>
      </c>
      <c r="H40" s="99">
        <f t="shared" si="5"/>
        <v>0</v>
      </c>
    </row>
    <row r="41" spans="1:8" ht="12.75" customHeight="1" x14ac:dyDescent="0.35">
      <c r="A41" s="98" t="s">
        <v>39</v>
      </c>
      <c r="B41" s="99">
        <v>0</v>
      </c>
      <c r="C41" s="99">
        <v>0</v>
      </c>
      <c r="D41" s="98">
        <v>0</v>
      </c>
      <c r="E41" s="99">
        <f t="shared" si="3"/>
        <v>0</v>
      </c>
      <c r="F41" s="99">
        <f t="shared" si="4"/>
        <v>0</v>
      </c>
      <c r="G41" s="98">
        <v>0</v>
      </c>
      <c r="H41" s="99">
        <f t="shared" si="5"/>
        <v>0</v>
      </c>
    </row>
    <row r="42" spans="1:8" ht="12.75" customHeight="1" x14ac:dyDescent="0.35">
      <c r="A42" s="98" t="str">
        <f>Calculations!$N$631</f>
        <v>12/2022</v>
      </c>
      <c r="B42" s="98">
        <f ca="1">IF(NOT(MYDisc),Calculations!$N$680,0)</f>
        <v>2594656.1580230654</v>
      </c>
      <c r="C42" s="98">
        <f ca="1">IF(NOT(MYDisc),Calculations!$N$668,0)</f>
        <v>-1107936.8215395985</v>
      </c>
      <c r="D42" s="98">
        <f ca="1">IF(NOT(MYDisc),+Calculations!$N$686,0)</f>
        <v>0</v>
      </c>
      <c r="E42" s="99">
        <f t="shared" ca="1" si="3"/>
        <v>3702592.9795626639</v>
      </c>
      <c r="F42" s="99">
        <f t="shared" ca="1" si="4"/>
        <v>2594656.1580230654</v>
      </c>
      <c r="G42" s="98">
        <f ca="1">IF(NOT(MYDisc),SUM(Calculations!$N$516),0)</f>
        <v>2728273.8539839927</v>
      </c>
      <c r="H42" s="99">
        <f t="shared" ca="1" si="5"/>
        <v>3702592.9795626639</v>
      </c>
    </row>
    <row r="43" spans="1:8" ht="12.75" customHeight="1" x14ac:dyDescent="0.35">
      <c r="A43" s="98" t="s">
        <v>39</v>
      </c>
      <c r="B43" s="98">
        <v>0</v>
      </c>
      <c r="C43" s="98">
        <v>0</v>
      </c>
      <c r="D43" s="98">
        <v>0</v>
      </c>
      <c r="E43" s="99">
        <f t="shared" si="3"/>
        <v>0</v>
      </c>
      <c r="F43" s="99">
        <f t="shared" si="4"/>
        <v>0</v>
      </c>
      <c r="G43" s="98">
        <v>0</v>
      </c>
      <c r="H43" s="99">
        <f t="shared" si="5"/>
        <v>0</v>
      </c>
    </row>
    <row r="44" spans="1:8" ht="12.75" customHeight="1" x14ac:dyDescent="0.35">
      <c r="A44" s="98" t="s">
        <v>39</v>
      </c>
      <c r="B44" s="99">
        <v>0</v>
      </c>
      <c r="C44" s="99">
        <v>0</v>
      </c>
      <c r="D44" s="98">
        <v>0</v>
      </c>
      <c r="E44" s="99">
        <f t="shared" si="3"/>
        <v>0</v>
      </c>
      <c r="F44" s="99">
        <f t="shared" si="4"/>
        <v>0</v>
      </c>
      <c r="G44" s="98">
        <v>0</v>
      </c>
      <c r="H44" s="99">
        <f t="shared" si="5"/>
        <v>0</v>
      </c>
    </row>
    <row r="45" spans="1:8" ht="12.75" customHeight="1" x14ac:dyDescent="0.35">
      <c r="A45" s="98" t="s">
        <v>39</v>
      </c>
      <c r="B45" s="98">
        <v>0</v>
      </c>
      <c r="C45" s="98">
        <v>0</v>
      </c>
      <c r="D45" s="98">
        <v>0</v>
      </c>
      <c r="E45" s="99">
        <f t="shared" si="3"/>
        <v>0</v>
      </c>
      <c r="F45" s="99">
        <f t="shared" si="4"/>
        <v>0</v>
      </c>
      <c r="G45" s="98">
        <v>0</v>
      </c>
      <c r="H45" s="99">
        <f t="shared" si="5"/>
        <v>0</v>
      </c>
    </row>
    <row r="46" spans="1:8" ht="12.75" customHeight="1" x14ac:dyDescent="0.35">
      <c r="A46" s="98" t="s">
        <v>39</v>
      </c>
      <c r="B46" s="98">
        <v>0</v>
      </c>
      <c r="C46" s="98">
        <v>0</v>
      </c>
      <c r="D46" s="98">
        <v>0</v>
      </c>
      <c r="E46" s="99">
        <f t="shared" si="3"/>
        <v>0</v>
      </c>
      <c r="F46" s="99">
        <f t="shared" si="4"/>
        <v>0</v>
      </c>
      <c r="G46" s="98">
        <v>0</v>
      </c>
      <c r="H46" s="99">
        <f t="shared" si="5"/>
        <v>0</v>
      </c>
    </row>
    <row r="47" spans="1:8" ht="12.75" customHeight="1" x14ac:dyDescent="0.35">
      <c r="A47" s="98" t="s">
        <v>39</v>
      </c>
      <c r="B47" s="98">
        <v>0</v>
      </c>
      <c r="C47" s="98">
        <v>0</v>
      </c>
      <c r="D47" s="98">
        <v>0</v>
      </c>
      <c r="E47" s="99">
        <f t="shared" si="3"/>
        <v>0</v>
      </c>
      <c r="F47" s="99">
        <f t="shared" si="4"/>
        <v>0</v>
      </c>
      <c r="G47" s="98">
        <v>0</v>
      </c>
      <c r="H47" s="99">
        <f t="shared" si="5"/>
        <v>0</v>
      </c>
    </row>
    <row r="48" spans="1:8" ht="12.75" customHeight="1" x14ac:dyDescent="0.35">
      <c r="A48" s="98" t="s">
        <v>39</v>
      </c>
      <c r="B48" s="98">
        <f>IF(MYDisc,Calculations!$O$680,0)</f>
        <v>0</v>
      </c>
      <c r="C48" s="98">
        <f>IF(MYDisc,Calculations!$O$668,0)</f>
        <v>0</v>
      </c>
      <c r="D48" s="98">
        <f>IF(MYDisc,+Calculations!$O$686,0)</f>
        <v>0</v>
      </c>
      <c r="E48" s="99">
        <f t="shared" si="3"/>
        <v>0</v>
      </c>
      <c r="F48" s="99">
        <f t="shared" si="4"/>
        <v>0</v>
      </c>
      <c r="G48" s="98">
        <f>IF(MYDisc,SUM(Calculations!$O$516),0)</f>
        <v>0</v>
      </c>
      <c r="H48" s="99">
        <f t="shared" si="5"/>
        <v>0</v>
      </c>
    </row>
    <row r="49" spans="1:8" ht="12.75" customHeight="1" x14ac:dyDescent="0.35">
      <c r="A49" s="98" t="s">
        <v>39</v>
      </c>
      <c r="B49" s="98">
        <v>0</v>
      </c>
      <c r="C49" s="98">
        <v>0</v>
      </c>
      <c r="D49" s="98">
        <v>0</v>
      </c>
      <c r="E49" s="99">
        <f t="shared" si="3"/>
        <v>0</v>
      </c>
      <c r="F49" s="99">
        <f t="shared" si="4"/>
        <v>0</v>
      </c>
      <c r="G49" s="98">
        <v>0</v>
      </c>
      <c r="H49" s="99">
        <f t="shared" si="5"/>
        <v>0</v>
      </c>
    </row>
    <row r="50" spans="1:8" ht="12.75" customHeight="1" x14ac:dyDescent="0.35">
      <c r="A50" s="98" t="s">
        <v>39</v>
      </c>
      <c r="B50" s="99">
        <v>0</v>
      </c>
      <c r="C50" s="99">
        <v>0</v>
      </c>
      <c r="D50" s="99">
        <v>0</v>
      </c>
      <c r="E50" s="99">
        <f t="shared" si="3"/>
        <v>0</v>
      </c>
      <c r="F50" s="99">
        <f t="shared" si="4"/>
        <v>0</v>
      </c>
      <c r="G50" s="99">
        <v>0</v>
      </c>
      <c r="H50" s="99">
        <f t="shared" si="5"/>
        <v>0</v>
      </c>
    </row>
    <row r="51" spans="1:8" ht="12.75" customHeight="1" x14ac:dyDescent="0.35">
      <c r="A51" s="98" t="s">
        <v>39</v>
      </c>
      <c r="B51" s="98">
        <v>0</v>
      </c>
      <c r="C51" s="98">
        <v>0</v>
      </c>
      <c r="D51" s="98">
        <v>0</v>
      </c>
      <c r="E51" s="99">
        <f t="shared" si="3"/>
        <v>0</v>
      </c>
      <c r="F51" s="99">
        <f t="shared" si="4"/>
        <v>0</v>
      </c>
      <c r="G51" s="98">
        <v>0</v>
      </c>
      <c r="H51" s="99">
        <f t="shared" si="5"/>
        <v>0</v>
      </c>
    </row>
    <row r="52" spans="1:8" ht="12.75" customHeight="1" x14ac:dyDescent="0.35">
      <c r="A52" s="98" t="s">
        <v>39</v>
      </c>
      <c r="B52" s="98">
        <v>0</v>
      </c>
      <c r="C52" s="98">
        <v>0</v>
      </c>
      <c r="D52" s="98">
        <v>0</v>
      </c>
      <c r="E52" s="99">
        <f t="shared" si="3"/>
        <v>0</v>
      </c>
      <c r="F52" s="99">
        <f t="shared" si="4"/>
        <v>0</v>
      </c>
      <c r="G52" s="98">
        <v>0</v>
      </c>
      <c r="H52" s="99">
        <f t="shared" si="5"/>
        <v>0</v>
      </c>
    </row>
    <row r="53" spans="1:8" ht="12.75" customHeight="1" x14ac:dyDescent="0.35">
      <c r="A53" s="98" t="s">
        <v>39</v>
      </c>
      <c r="B53" s="98">
        <v>0</v>
      </c>
      <c r="C53" s="98">
        <v>0</v>
      </c>
      <c r="D53" s="98">
        <v>0</v>
      </c>
      <c r="E53" s="99">
        <f t="shared" si="3"/>
        <v>0</v>
      </c>
      <c r="F53" s="99">
        <f t="shared" si="4"/>
        <v>0</v>
      </c>
      <c r="G53" s="98">
        <v>0</v>
      </c>
      <c r="H53" s="99">
        <f t="shared" si="5"/>
        <v>0</v>
      </c>
    </row>
    <row r="54" spans="1:8" ht="12.75" customHeight="1" x14ac:dyDescent="0.35">
      <c r="A54" s="98" t="str">
        <f>Calculations!$O$631</f>
        <v>12/2023</v>
      </c>
      <c r="B54" s="98">
        <f ca="1">IF(NOT(MYDisc),Calculations!$O$680,0)</f>
        <v>3502168.1138907536</v>
      </c>
      <c r="C54" s="98">
        <f ca="1">IF(NOT(MYDisc),Calculations!$O$668,0)</f>
        <v>-1528508.2860735075</v>
      </c>
      <c r="D54" s="98">
        <f ca="1">IF(NOT(MYDisc),+Calculations!$O$686,0)</f>
        <v>0</v>
      </c>
      <c r="E54" s="99">
        <f t="shared" ca="1" si="3"/>
        <v>5030676.3999642609</v>
      </c>
      <c r="F54" s="99">
        <f t="shared" ca="1" si="4"/>
        <v>3502168.1138907536</v>
      </c>
      <c r="G54" s="98">
        <f ca="1">IF(NOT(MYDisc),SUM(Calculations!$O$516),0)</f>
        <v>3800357.5016479669</v>
      </c>
      <c r="H54" s="99">
        <f t="shared" ca="1" si="5"/>
        <v>5030676.3999642609</v>
      </c>
    </row>
    <row r="55" spans="1:8" ht="12.75" customHeight="1" x14ac:dyDescent="0.35">
      <c r="A55" s="98" t="s">
        <v>39</v>
      </c>
      <c r="B55" s="98">
        <v>0</v>
      </c>
      <c r="C55" s="98">
        <v>0</v>
      </c>
      <c r="D55" s="98">
        <v>0</v>
      </c>
      <c r="E55" s="99">
        <f t="shared" si="3"/>
        <v>0</v>
      </c>
      <c r="F55" s="99">
        <f t="shared" si="4"/>
        <v>0</v>
      </c>
      <c r="G55" s="98">
        <v>0</v>
      </c>
      <c r="H55" s="99">
        <f t="shared" si="5"/>
        <v>0</v>
      </c>
    </row>
    <row r="56" spans="1:8" ht="12.75" customHeight="1" x14ac:dyDescent="0.35">
      <c r="A56" s="98" t="s">
        <v>39</v>
      </c>
      <c r="B56" s="99">
        <v>0</v>
      </c>
      <c r="C56" s="99">
        <v>0</v>
      </c>
      <c r="D56" s="98">
        <v>0</v>
      </c>
      <c r="E56" s="99">
        <f t="shared" si="3"/>
        <v>0</v>
      </c>
      <c r="F56" s="99">
        <f t="shared" si="4"/>
        <v>0</v>
      </c>
      <c r="G56" s="98">
        <v>0</v>
      </c>
      <c r="H56" s="99">
        <f t="shared" si="5"/>
        <v>0</v>
      </c>
    </row>
    <row r="57" spans="1:8" ht="12.75" customHeight="1" x14ac:dyDescent="0.35">
      <c r="A57" s="98" t="s">
        <v>39</v>
      </c>
      <c r="B57" s="98">
        <v>0</v>
      </c>
      <c r="C57" s="98">
        <v>0</v>
      </c>
      <c r="D57" s="98">
        <v>0</v>
      </c>
      <c r="E57" s="99">
        <f t="shared" si="3"/>
        <v>0</v>
      </c>
      <c r="F57" s="99">
        <f t="shared" si="4"/>
        <v>0</v>
      </c>
      <c r="G57" s="98">
        <v>0</v>
      </c>
      <c r="H57" s="99">
        <f t="shared" si="5"/>
        <v>0</v>
      </c>
    </row>
    <row r="58" spans="1:8" ht="12.75" customHeight="1" x14ac:dyDescent="0.35">
      <c r="A58" s="98" t="s">
        <v>39</v>
      </c>
      <c r="B58" s="98">
        <v>0</v>
      </c>
      <c r="C58" s="98">
        <v>0</v>
      </c>
      <c r="D58" s="98">
        <v>0</v>
      </c>
      <c r="E58" s="99">
        <f t="shared" si="3"/>
        <v>0</v>
      </c>
      <c r="F58" s="99">
        <f t="shared" si="4"/>
        <v>0</v>
      </c>
      <c r="G58" s="98">
        <v>0</v>
      </c>
      <c r="H58" s="99">
        <f t="shared" si="5"/>
        <v>0</v>
      </c>
    </row>
    <row r="59" spans="1:8" ht="12.75" customHeight="1" x14ac:dyDescent="0.35">
      <c r="A59" s="98" t="s">
        <v>39</v>
      </c>
      <c r="B59" s="98">
        <v>0</v>
      </c>
      <c r="C59" s="98">
        <v>0</v>
      </c>
      <c r="D59" s="98">
        <v>0</v>
      </c>
      <c r="E59" s="99">
        <f t="shared" si="3"/>
        <v>0</v>
      </c>
      <c r="F59" s="99">
        <f t="shared" si="4"/>
        <v>0</v>
      </c>
      <c r="G59" s="98">
        <v>0</v>
      </c>
      <c r="H59" s="99">
        <f t="shared" si="5"/>
        <v>0</v>
      </c>
    </row>
    <row r="60" spans="1:8" ht="12.75" customHeight="1" x14ac:dyDescent="0.35">
      <c r="A60" s="98" t="s">
        <v>39</v>
      </c>
      <c r="B60" s="98">
        <f>IF(MYDisc,Calculations!$P$680,0)</f>
        <v>0</v>
      </c>
      <c r="C60" s="98">
        <f>IF(MYDisc,Calculations!$P$668,0)</f>
        <v>0</v>
      </c>
      <c r="D60" s="98">
        <f>IF(MYDisc,+Calculations!$P$686,0)</f>
        <v>0</v>
      </c>
      <c r="E60" s="99">
        <f t="shared" si="3"/>
        <v>0</v>
      </c>
      <c r="F60" s="99">
        <f t="shared" si="4"/>
        <v>0</v>
      </c>
      <c r="G60" s="98">
        <f>IF(MYDisc,SUM(Calculations!$P$516),0)</f>
        <v>0</v>
      </c>
      <c r="H60" s="99">
        <f t="shared" si="5"/>
        <v>0</v>
      </c>
    </row>
    <row r="61" spans="1:8" ht="12.75" customHeight="1" x14ac:dyDescent="0.35">
      <c r="A61" s="98" t="s">
        <v>39</v>
      </c>
      <c r="B61" s="98">
        <v>0</v>
      </c>
      <c r="C61" s="98">
        <v>0</v>
      </c>
      <c r="D61" s="98">
        <v>0</v>
      </c>
      <c r="E61" s="99">
        <f t="shared" si="3"/>
        <v>0</v>
      </c>
      <c r="F61" s="99">
        <f t="shared" si="4"/>
        <v>0</v>
      </c>
      <c r="G61" s="98">
        <v>0</v>
      </c>
      <c r="H61" s="99">
        <f t="shared" si="5"/>
        <v>0</v>
      </c>
    </row>
    <row r="62" spans="1:8" ht="12.75" customHeight="1" x14ac:dyDescent="0.35">
      <c r="A62" s="98" t="s">
        <v>39</v>
      </c>
      <c r="B62" s="99">
        <v>0</v>
      </c>
      <c r="C62" s="99">
        <v>0</v>
      </c>
      <c r="D62" s="99">
        <v>0</v>
      </c>
      <c r="E62" s="99">
        <f t="shared" si="3"/>
        <v>0</v>
      </c>
      <c r="F62" s="99">
        <f t="shared" si="4"/>
        <v>0</v>
      </c>
      <c r="G62" s="99">
        <v>0</v>
      </c>
      <c r="H62" s="99">
        <f t="shared" si="5"/>
        <v>0</v>
      </c>
    </row>
    <row r="63" spans="1:8" x14ac:dyDescent="0.35">
      <c r="A63" s="97" t="s">
        <v>39</v>
      </c>
      <c r="B63" s="97">
        <v>0</v>
      </c>
      <c r="C63" s="97">
        <v>0</v>
      </c>
      <c r="D63" s="97">
        <v>0</v>
      </c>
      <c r="E63" s="97">
        <f t="shared" si="3"/>
        <v>0</v>
      </c>
      <c r="F63" s="1331">
        <f t="shared" si="4"/>
        <v>0</v>
      </c>
      <c r="G63" s="97">
        <v>0</v>
      </c>
      <c r="H63" s="1331">
        <f t="shared" si="5"/>
        <v>0</v>
      </c>
    </row>
    <row r="64" spans="1:8" x14ac:dyDescent="0.35">
      <c r="A64" s="97" t="s">
        <v>39</v>
      </c>
      <c r="B64" s="97">
        <v>0</v>
      </c>
      <c r="C64" s="97">
        <v>0</v>
      </c>
      <c r="D64" s="97">
        <v>0</v>
      </c>
      <c r="E64" s="97">
        <f t="shared" si="3"/>
        <v>0</v>
      </c>
      <c r="F64" s="1331">
        <f t="shared" si="4"/>
        <v>0</v>
      </c>
      <c r="G64" s="97">
        <v>0</v>
      </c>
      <c r="H64" s="1331">
        <f t="shared" si="5"/>
        <v>0</v>
      </c>
    </row>
    <row r="65" spans="1:8" x14ac:dyDescent="0.35">
      <c r="A65" s="97" t="s">
        <v>39</v>
      </c>
      <c r="B65" s="97">
        <v>0</v>
      </c>
      <c r="C65" s="97">
        <v>0</v>
      </c>
      <c r="D65" s="97">
        <v>0</v>
      </c>
      <c r="E65" s="97">
        <f t="shared" si="3"/>
        <v>0</v>
      </c>
      <c r="F65" s="1331">
        <f t="shared" si="4"/>
        <v>0</v>
      </c>
      <c r="G65" s="97">
        <v>0</v>
      </c>
      <c r="H65" s="1331">
        <f t="shared" si="5"/>
        <v>0</v>
      </c>
    </row>
    <row r="66" spans="1:8" x14ac:dyDescent="0.35">
      <c r="A66" s="97" t="str">
        <f>Calculations!$P$631</f>
        <v>12/2024</v>
      </c>
      <c r="B66" s="1331">
        <f ca="1">IF(NOT(MYDisc),Calculations!$P$680,0)+Calculations!$Q$680+IF(UsePerpetuity=1,PerpetuityValue,0)</f>
        <v>9131366.8081373833</v>
      </c>
      <c r="C66" s="97">
        <f ca="1">IF(NOT(MYDisc),Calculations!$P$668,0)+Calculations!$Q$668+IF(UsePerpetuity=1,-IF(ValueInUseWithTax=1,0,PerpetuityValue/(1-Calculations!$Q$4)-PerpetuityValue),0)</f>
        <v>-2043183.535205672</v>
      </c>
      <c r="D66" s="1331">
        <f ca="1">IF(NOT(MYDisc),+Calculations!$P$686,0)+Calculations!$Q$686</f>
        <v>0</v>
      </c>
      <c r="E66" s="97">
        <f t="shared" ca="1" si="3"/>
        <v>11174550.343343055</v>
      </c>
      <c r="F66" s="1331">
        <f ca="1">$B66+IF(UsePerpetuity=1,-PerpetuityValue+PerpetuityValueEquity,0)+$D66+IF(CorrDebtResidual,-OFFSET(Calculations!$Q$811,0,-1)-OFFSET(Calculations!$Q$812,0,-1),0)</f>
        <v>9131366.8081373833</v>
      </c>
      <c r="G66" s="1331">
        <f ca="1">IF(NOT(MYDisc),SUM(Calculations!$P$516),0)+SUM(Calculations!$Q$516)</f>
        <v>4043196.308761111</v>
      </c>
      <c r="H66" s="1331">
        <f t="shared" ca="1" si="5"/>
        <v>11174550.343343055</v>
      </c>
    </row>
  </sheetData>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autoPageBreaks="0"/>
  </sheetPr>
  <dimension ref="A1:K40"/>
  <sheetViews>
    <sheetView topLeftCell="I1" workbookViewId="0">
      <selection activeCell="K16" sqref="K16"/>
    </sheetView>
  </sheetViews>
  <sheetFormatPr defaultColWidth="9.1796875" defaultRowHeight="14.5" x14ac:dyDescent="0.35"/>
  <cols>
    <col min="1" max="1" width="4.54296875" style="97" customWidth="1"/>
    <col min="2" max="4" width="25.7265625" style="97" customWidth="1"/>
    <col min="5" max="8" width="20.7265625" style="97" customWidth="1"/>
    <col min="9" max="9" width="28.26953125" style="97" bestFit="1" customWidth="1"/>
    <col min="10" max="10" width="23.54296875" style="97" bestFit="1" customWidth="1"/>
    <col min="11" max="11" width="32.54296875" style="97" bestFit="1" customWidth="1"/>
    <col min="12" max="16384" width="9.1796875" style="97"/>
  </cols>
  <sheetData>
    <row r="1" spans="1:11" ht="12.75" customHeight="1" x14ac:dyDescent="0.35">
      <c r="A1"/>
      <c r="B1" t="s">
        <v>2439</v>
      </c>
      <c r="C1" t="s">
        <v>2440</v>
      </c>
      <c r="D1" t="s">
        <v>2441</v>
      </c>
      <c r="E1"/>
      <c r="F1"/>
      <c r="G1"/>
      <c r="H1"/>
      <c r="I1" s="159" t="s">
        <v>5448</v>
      </c>
      <c r="J1" s="159" t="s">
        <v>5463</v>
      </c>
      <c r="K1" s="159" t="s">
        <v>5584</v>
      </c>
    </row>
    <row r="2" spans="1:11" ht="12.75" customHeight="1" x14ac:dyDescent="0.35">
      <c r="A2"/>
      <c r="B2" s="100" t="str">
        <f ca="1">""&amp;OFFSET(B2,Language,0)</f>
        <v>Assignable macros</v>
      </c>
      <c r="C2" s="100" t="str">
        <f ca="1">""&amp;OFFSET(C2,Language,0)</f>
        <v>Macro to run in XXX</v>
      </c>
      <c r="D2" s="100" t="str">
        <f ca="1">""&amp;OFFSET(D2,Language,0)</f>
        <v>macro workbook</v>
      </c>
      <c r="E2" s="100" t="str">
        <f ca="1">""&amp;OFFSET(E2,Language,0)</f>
        <v>perpetual</v>
      </c>
      <c r="F2" s="100" t="str">
        <f t="shared" ref="F2:K2" ca="1" si="0">""&amp;OFFSET(F2,Language,0)</f>
        <v>Macro workbook not specified.</v>
      </c>
      <c r="G2" s="100" t="str">
        <f t="shared" ca="1" si="0"/>
        <v>Macro not specified.</v>
      </c>
      <c r="H2" s="212" t="str">
        <f t="shared" ca="1" si="0"/>
        <v>Allocated overvalue</v>
      </c>
      <c r="I2" s="221" t="str">
        <f t="shared" ca="1" si="0"/>
        <v>&lt; Not in use &gt;</v>
      </c>
      <c r="J2" s="221" t="str">
        <f t="shared" ca="1" si="0"/>
        <v>Show row numbers</v>
      </c>
      <c r="K2" s="221" t="str">
        <f t="shared" ca="1" si="0"/>
        <v>All</v>
      </c>
    </row>
    <row r="3" spans="1:11" ht="12.75" customHeight="1" x14ac:dyDescent="0.35">
      <c r="A3" t="s">
        <v>2442</v>
      </c>
      <c r="B3" t="s">
        <v>2443</v>
      </c>
      <c r="C3" t="s">
        <v>2444</v>
      </c>
      <c r="D3" t="s">
        <v>2445</v>
      </c>
      <c r="E3" t="s">
        <v>2446</v>
      </c>
      <c r="F3" t="s">
        <v>2447</v>
      </c>
      <c r="G3" t="s">
        <v>2448</v>
      </c>
      <c r="H3" s="97" t="s">
        <v>2449</v>
      </c>
      <c r="I3" s="220" t="s">
        <v>5449</v>
      </c>
      <c r="J3" s="220" t="s">
        <v>5506</v>
      </c>
      <c r="K3" s="220" t="s">
        <v>5585</v>
      </c>
    </row>
    <row r="4" spans="1:11" ht="12.75" customHeight="1" x14ac:dyDescent="0.35">
      <c r="A4" t="s">
        <v>2450</v>
      </c>
      <c r="B4" t="s">
        <v>2451</v>
      </c>
      <c r="C4" t="s">
        <v>2452</v>
      </c>
      <c r="D4" t="s">
        <v>2453</v>
      </c>
      <c r="E4" t="s">
        <v>2454</v>
      </c>
      <c r="F4" t="s">
        <v>2455</v>
      </c>
      <c r="G4" t="s">
        <v>2456</v>
      </c>
      <c r="H4" s="97" t="s">
        <v>2457</v>
      </c>
      <c r="I4" s="220" t="s">
        <v>5450</v>
      </c>
      <c r="J4" s="220" t="s">
        <v>5507</v>
      </c>
      <c r="K4" s="220" t="s">
        <v>5586</v>
      </c>
    </row>
    <row r="5" spans="1:11" ht="12.75" customHeight="1" x14ac:dyDescent="0.35">
      <c r="A5" t="s">
        <v>2458</v>
      </c>
      <c r="B5" t="s">
        <v>2459</v>
      </c>
      <c r="C5" t="s">
        <v>2460</v>
      </c>
      <c r="D5" t="s">
        <v>2461</v>
      </c>
      <c r="E5" t="s">
        <v>2462</v>
      </c>
      <c r="F5" t="s">
        <v>2463</v>
      </c>
      <c r="G5" t="s">
        <v>2464</v>
      </c>
      <c r="H5" s="97" t="s">
        <v>2465</v>
      </c>
      <c r="I5" s="220" t="s">
        <v>5451</v>
      </c>
      <c r="J5" s="220" t="s">
        <v>5508</v>
      </c>
      <c r="K5" s="220" t="s">
        <v>5587</v>
      </c>
    </row>
    <row r="6" spans="1:11" ht="12.75" customHeight="1" x14ac:dyDescent="0.35">
      <c r="A6" t="s">
        <v>2466</v>
      </c>
      <c r="B6" t="s">
        <v>2467</v>
      </c>
      <c r="C6" t="s">
        <v>2468</v>
      </c>
      <c r="D6" t="s">
        <v>2469</v>
      </c>
      <c r="E6" t="s">
        <v>2470</v>
      </c>
      <c r="F6" t="s">
        <v>2471</v>
      </c>
      <c r="G6" t="s">
        <v>2472</v>
      </c>
      <c r="H6" s="97" t="s">
        <v>2473</v>
      </c>
      <c r="I6" s="220" t="s">
        <v>5454</v>
      </c>
      <c r="J6" s="220" t="s">
        <v>5524</v>
      </c>
      <c r="K6" s="220" t="s">
        <v>5588</v>
      </c>
    </row>
    <row r="7" spans="1:11" ht="12.75" customHeight="1" x14ac:dyDescent="0.35">
      <c r="A7" t="s">
        <v>2474</v>
      </c>
      <c r="B7" t="s">
        <v>2475</v>
      </c>
      <c r="C7" t="s">
        <v>2476</v>
      </c>
      <c r="D7" t="s">
        <v>2477</v>
      </c>
      <c r="E7" t="s">
        <v>2478</v>
      </c>
      <c r="F7" t="s">
        <v>2447</v>
      </c>
      <c r="G7" t="s">
        <v>2448</v>
      </c>
      <c r="H7" s="97" t="s">
        <v>2479</v>
      </c>
      <c r="I7" s="220" t="s">
        <v>5453</v>
      </c>
      <c r="J7" s="220" t="s">
        <v>5509</v>
      </c>
      <c r="K7" s="220" t="s">
        <v>5589</v>
      </c>
    </row>
    <row r="8" spans="1:11" ht="12.75" customHeight="1" x14ac:dyDescent="0.35">
      <c r="A8" t="s">
        <v>2480</v>
      </c>
      <c r="B8" t="s">
        <v>2481</v>
      </c>
      <c r="C8" t="s">
        <v>2482</v>
      </c>
      <c r="D8" t="s">
        <v>2483</v>
      </c>
      <c r="E8" t="s">
        <v>2484</v>
      </c>
      <c r="F8" t="s">
        <v>2485</v>
      </c>
      <c r="G8" t="s">
        <v>2486</v>
      </c>
      <c r="H8" s="97" t="s">
        <v>2487</v>
      </c>
      <c r="I8" s="220" t="s">
        <v>5452</v>
      </c>
      <c r="J8" s="220" t="s">
        <v>5510</v>
      </c>
      <c r="K8" s="220" t="s">
        <v>5590</v>
      </c>
    </row>
    <row r="9" spans="1:11" ht="12.75" customHeight="1" x14ac:dyDescent="0.35">
      <c r="A9" t="s">
        <v>2488</v>
      </c>
      <c r="B9" s="97" t="s">
        <v>2489</v>
      </c>
      <c r="C9" s="97" t="s">
        <v>2490</v>
      </c>
      <c r="D9" s="97" t="s">
        <v>2491</v>
      </c>
      <c r="E9" s="97" t="s">
        <v>2492</v>
      </c>
      <c r="F9" s="97" t="s">
        <v>2493</v>
      </c>
      <c r="G9" s="97" t="s">
        <v>2494</v>
      </c>
      <c r="H9" s="97" t="s">
        <v>2495</v>
      </c>
      <c r="I9" s="220" t="s">
        <v>5455</v>
      </c>
      <c r="J9" s="220" t="s">
        <v>5511</v>
      </c>
      <c r="K9" s="220" t="s">
        <v>5591</v>
      </c>
    </row>
    <row r="10" spans="1:11" ht="12.75" customHeight="1" x14ac:dyDescent="0.35">
      <c r="A10" s="1297" t="s">
        <v>6095</v>
      </c>
      <c r="B10" s="1298" t="s">
        <v>6096</v>
      </c>
      <c r="C10" s="1298" t="s">
        <v>6097</v>
      </c>
      <c r="D10" s="1298" t="s">
        <v>6098</v>
      </c>
      <c r="E10" s="1298" t="s">
        <v>6099</v>
      </c>
      <c r="F10" s="1298" t="s">
        <v>6100</v>
      </c>
      <c r="G10" s="1298" t="s">
        <v>6101</v>
      </c>
      <c r="H10" s="1298" t="s">
        <v>6102</v>
      </c>
      <c r="I10" s="1298" t="s">
        <v>6103</v>
      </c>
      <c r="J10" s="1298" t="s">
        <v>6104</v>
      </c>
      <c r="K10" s="1298" t="s">
        <v>6105</v>
      </c>
    </row>
    <row r="11" spans="1:11" ht="12.75" customHeight="1" x14ac:dyDescent="0.35">
      <c r="A11"/>
      <c r="B11" t="s">
        <v>2496</v>
      </c>
      <c r="C11" t="s">
        <v>2497</v>
      </c>
      <c r="D11" t="s">
        <v>2498</v>
      </c>
      <c r="E11" t="s">
        <v>2499</v>
      </c>
      <c r="F11" t="s">
        <v>231</v>
      </c>
      <c r="G11"/>
      <c r="H11"/>
      <c r="I11"/>
      <c r="J11" s="159" t="s">
        <v>5583</v>
      </c>
      <c r="K11" s="1241" t="s">
        <v>5599</v>
      </c>
    </row>
    <row r="12" spans="1:11" ht="12.75" customHeight="1" x14ac:dyDescent="0.35">
      <c r="A12"/>
      <c r="B12" s="100" t="str">
        <f t="shared" ref="B12:I12" ca="1" si="1">""&amp;OFFSET(B12,Language,0)</f>
        <v>Straight line</v>
      </c>
      <c r="C12" s="100" t="str">
        <f t="shared" ca="1" si="1"/>
        <v>Declining bal.</v>
      </c>
      <c r="D12" s="100" t="str">
        <f t="shared" ca="1" si="1"/>
        <v>Enter</v>
      </c>
      <c r="E12" s="100" t="str">
        <f t="shared" ca="1" si="1"/>
        <v>Invest for Excel must be open for this function to work. Please open Invest for Excel.</v>
      </c>
      <c r="F12" s="100" t="str">
        <f t="shared" ca="1" si="1"/>
        <v>Residual</v>
      </c>
      <c r="G12" s="100" t="str">
        <f t="shared" ca="1" si="1"/>
        <v>Depreciation</v>
      </c>
      <c r="H12" s="100" t="str">
        <f t="shared" ca="1" si="1"/>
        <v>IFRS 3</v>
      </c>
      <c r="I12" s="100" t="str">
        <f t="shared" ca="1" si="1"/>
        <v>N GAAP</v>
      </c>
      <c r="J12" s="221" t="str">
        <f t="shared" ref="J12:K12" ca="1" si="2">""&amp;OFFSET(J12,Language,0)</f>
        <v>Group</v>
      </c>
      <c r="K12" s="1242" t="str">
        <f t="shared" ca="1" si="2"/>
        <v>Mid-year discounting</v>
      </c>
    </row>
    <row r="13" spans="1:11" ht="12.75" customHeight="1" x14ac:dyDescent="0.35">
      <c r="A13" t="s">
        <v>2442</v>
      </c>
      <c r="B13" t="s">
        <v>2500</v>
      </c>
      <c r="C13" t="s">
        <v>2501</v>
      </c>
      <c r="D13" t="s">
        <v>2502</v>
      </c>
      <c r="E13" t="s">
        <v>2503</v>
      </c>
      <c r="F13" t="s">
        <v>2504</v>
      </c>
      <c r="G13" t="s">
        <v>647</v>
      </c>
      <c r="H13" t="s">
        <v>2505</v>
      </c>
      <c r="I13" t="s">
        <v>2506</v>
      </c>
      <c r="J13" s="1194" t="s">
        <v>908</v>
      </c>
      <c r="K13" s="1240" t="s">
        <v>5594</v>
      </c>
    </row>
    <row r="14" spans="1:11" ht="12.75" customHeight="1" x14ac:dyDescent="0.35">
      <c r="A14" t="s">
        <v>2450</v>
      </c>
      <c r="B14" t="s">
        <v>2507</v>
      </c>
      <c r="C14" t="s">
        <v>2508</v>
      </c>
      <c r="D14" t="s">
        <v>2509</v>
      </c>
      <c r="E14" t="s">
        <v>2510</v>
      </c>
      <c r="F14" t="s">
        <v>2511</v>
      </c>
      <c r="G14" t="s">
        <v>2512</v>
      </c>
      <c r="H14" t="s">
        <v>2505</v>
      </c>
      <c r="I14" t="s">
        <v>2506</v>
      </c>
      <c r="J14" s="1194" t="s">
        <v>5512</v>
      </c>
      <c r="K14" s="1240" t="s">
        <v>5595</v>
      </c>
    </row>
    <row r="15" spans="1:11" ht="12.75" customHeight="1" x14ac:dyDescent="0.35">
      <c r="A15" t="s">
        <v>2458</v>
      </c>
      <c r="B15" t="s">
        <v>5116</v>
      </c>
      <c r="C15" t="s">
        <v>2513</v>
      </c>
      <c r="D15" t="s">
        <v>2514</v>
      </c>
      <c r="E15" t="s">
        <v>2515</v>
      </c>
      <c r="F15" t="s">
        <v>2516</v>
      </c>
      <c r="G15" t="s">
        <v>2517</v>
      </c>
      <c r="H15" t="s">
        <v>2505</v>
      </c>
      <c r="I15" t="s">
        <v>2506</v>
      </c>
      <c r="J15" s="1194" t="s">
        <v>5513</v>
      </c>
      <c r="K15" s="1240" t="s">
        <v>5596</v>
      </c>
    </row>
    <row r="16" spans="1:11" ht="12.75" customHeight="1" x14ac:dyDescent="0.35">
      <c r="A16" t="s">
        <v>2466</v>
      </c>
      <c r="B16" t="s">
        <v>2518</v>
      </c>
      <c r="C16" t="s">
        <v>2513</v>
      </c>
      <c r="D16" t="s">
        <v>2519</v>
      </c>
      <c r="E16" t="s">
        <v>2520</v>
      </c>
      <c r="F16" t="s">
        <v>2521</v>
      </c>
      <c r="G16" t="s">
        <v>2522</v>
      </c>
      <c r="H16" t="s">
        <v>2505</v>
      </c>
      <c r="I16" t="s">
        <v>2506</v>
      </c>
      <c r="J16" s="1194" t="s">
        <v>5514</v>
      </c>
      <c r="K16" s="1240" t="s">
        <v>6215</v>
      </c>
    </row>
    <row r="17" spans="1:11" ht="12.75" customHeight="1" x14ac:dyDescent="0.35">
      <c r="A17" t="s">
        <v>2474</v>
      </c>
      <c r="B17" t="s">
        <v>2523</v>
      </c>
      <c r="C17" t="s">
        <v>2524</v>
      </c>
      <c r="D17" t="s">
        <v>2525</v>
      </c>
      <c r="E17" t="s">
        <v>2526</v>
      </c>
      <c r="F17" t="s">
        <v>2527</v>
      </c>
      <c r="G17" t="s">
        <v>2528</v>
      </c>
      <c r="H17" t="s">
        <v>2505</v>
      </c>
      <c r="I17" t="s">
        <v>2506</v>
      </c>
      <c r="J17" s="1194" t="s">
        <v>3535</v>
      </c>
      <c r="K17" s="1303" t="s">
        <v>6213</v>
      </c>
    </row>
    <row r="18" spans="1:11" ht="12.75" customHeight="1" x14ac:dyDescent="0.35">
      <c r="A18" t="s">
        <v>2480</v>
      </c>
      <c r="B18" t="s">
        <v>2529</v>
      </c>
      <c r="C18" t="s">
        <v>2530</v>
      </c>
      <c r="D18" t="s">
        <v>2531</v>
      </c>
      <c r="E18" t="s">
        <v>2532</v>
      </c>
      <c r="F18" t="s">
        <v>2504</v>
      </c>
      <c r="G18" t="s">
        <v>2533</v>
      </c>
      <c r="H18" t="s">
        <v>2505</v>
      </c>
      <c r="I18" t="s">
        <v>2506</v>
      </c>
      <c r="J18" s="1194" t="s">
        <v>3761</v>
      </c>
      <c r="K18" s="1240" t="s">
        <v>5597</v>
      </c>
    </row>
    <row r="19" spans="1:11" ht="12.75" customHeight="1" x14ac:dyDescent="0.35">
      <c r="A19" t="s">
        <v>2488</v>
      </c>
      <c r="B19" s="97" t="s">
        <v>2534</v>
      </c>
      <c r="C19" s="97" t="s">
        <v>2535</v>
      </c>
      <c r="D19" s="97" t="s">
        <v>2536</v>
      </c>
      <c r="E19" s="97" t="s">
        <v>2537</v>
      </c>
      <c r="F19" s="97" t="s">
        <v>2538</v>
      </c>
      <c r="G19" t="s">
        <v>2539</v>
      </c>
      <c r="H19" t="s">
        <v>2540</v>
      </c>
      <c r="I19" t="s">
        <v>2541</v>
      </c>
      <c r="J19" s="1194" t="s">
        <v>3990</v>
      </c>
      <c r="K19" s="1240" t="s">
        <v>5598</v>
      </c>
    </row>
    <row r="20" spans="1:11" ht="12.75" customHeight="1" x14ac:dyDescent="0.35">
      <c r="A20" s="1297" t="s">
        <v>6095</v>
      </c>
      <c r="B20" s="1298" t="s">
        <v>2534</v>
      </c>
      <c r="C20" s="1298" t="s">
        <v>6106</v>
      </c>
      <c r="D20" s="1298" t="s">
        <v>6107</v>
      </c>
      <c r="E20" s="1298" t="s">
        <v>6108</v>
      </c>
      <c r="F20" s="1298" t="s">
        <v>6109</v>
      </c>
      <c r="G20" s="1298" t="s">
        <v>2539</v>
      </c>
      <c r="H20" s="1298" t="s">
        <v>2505</v>
      </c>
      <c r="I20" s="1298" t="s">
        <v>2506</v>
      </c>
      <c r="J20" s="1298" t="s">
        <v>3990</v>
      </c>
      <c r="K20" s="1299" t="s">
        <v>6118</v>
      </c>
    </row>
    <row r="21" spans="1:11" ht="12.75" customHeight="1" x14ac:dyDescent="0.35">
      <c r="A21"/>
      <c r="B21" t="s">
        <v>234</v>
      </c>
      <c r="C21" t="s">
        <v>2542</v>
      </c>
      <c r="D21" t="s">
        <v>2543</v>
      </c>
      <c r="E21" t="s">
        <v>2544</v>
      </c>
      <c r="F21" t="s">
        <v>245</v>
      </c>
      <c r="G21"/>
      <c r="H21"/>
      <c r="I21" s="97" t="s">
        <v>5124</v>
      </c>
      <c r="J21" s="1225" t="s">
        <v>5567</v>
      </c>
    </row>
    <row r="22" spans="1:11" ht="12.75" customHeight="1" x14ac:dyDescent="0.35">
      <c r="A22"/>
      <c r="B22" s="100" t="str">
        <f t="shared" ref="B22:H22" ca="1" si="3">""&amp;OFFSET(B22,Language,0)</f>
        <v>Variable</v>
      </c>
      <c r="C22" s="100" t="str">
        <f t="shared" ca="1" si="3"/>
        <v>Imputed</v>
      </c>
      <c r="D22" s="100" t="str">
        <f t="shared" ca="1" si="3"/>
        <v>Macro workbook name</v>
      </c>
      <c r="E22" s="100" t="str">
        <f t="shared" ca="1" si="3"/>
        <v>Term change macro</v>
      </c>
      <c r="F22" s="100" t="str">
        <f t="shared" ca="1" si="3"/>
        <v>Description (optional)</v>
      </c>
      <c r="G22" s="100" t="str">
        <f t="shared" ca="1" si="3"/>
        <v>adjusted</v>
      </c>
      <c r="H22" s="100" t="str">
        <f t="shared" ca="1" si="3"/>
        <v>Income tax</v>
      </c>
      <c r="I22" s="212" t="str">
        <f t="shared" ref="I22" ca="1" si="4">""&amp;OFFSET(I22,Language,0)</f>
        <v>Elimination</v>
      </c>
      <c r="J22" s="1224" t="str">
        <f t="shared" ref="J22" ca="1" si="5">""&amp;OFFSET(J22,Language,0)</f>
        <v>Change, yearly %</v>
      </c>
    </row>
    <row r="23" spans="1:11" ht="12.75" customHeight="1" x14ac:dyDescent="0.35">
      <c r="A23" t="s">
        <v>2442</v>
      </c>
      <c r="B23" t="s">
        <v>2545</v>
      </c>
      <c r="C23" t="s">
        <v>2546</v>
      </c>
      <c r="D23" t="s">
        <v>2547</v>
      </c>
      <c r="E23" t="s">
        <v>2548</v>
      </c>
      <c r="F23" t="s">
        <v>2549</v>
      </c>
      <c r="G23" t="s">
        <v>2550</v>
      </c>
      <c r="H23" t="s">
        <v>881</v>
      </c>
      <c r="I23" s="97" t="s">
        <v>5125</v>
      </c>
      <c r="J23" s="1194" t="s">
        <v>5568</v>
      </c>
    </row>
    <row r="24" spans="1:11" ht="12.75" customHeight="1" x14ac:dyDescent="0.35">
      <c r="A24" t="s">
        <v>2450</v>
      </c>
      <c r="B24" t="s">
        <v>2551</v>
      </c>
      <c r="C24" t="s">
        <v>2552</v>
      </c>
      <c r="D24" t="s">
        <v>2553</v>
      </c>
      <c r="E24" t="s">
        <v>2554</v>
      </c>
      <c r="F24" t="s">
        <v>2555</v>
      </c>
      <c r="G24" t="s">
        <v>2556</v>
      </c>
      <c r="H24" t="s">
        <v>2557</v>
      </c>
      <c r="I24" s="97" t="s">
        <v>5126</v>
      </c>
      <c r="J24" s="1194" t="s">
        <v>5569</v>
      </c>
    </row>
    <row r="25" spans="1:11" ht="12.75" customHeight="1" x14ac:dyDescent="0.35">
      <c r="A25" t="s">
        <v>2458</v>
      </c>
      <c r="B25" t="s">
        <v>2558</v>
      </c>
      <c r="C25" t="s">
        <v>2559</v>
      </c>
      <c r="D25" t="s">
        <v>2560</v>
      </c>
      <c r="E25" t="s">
        <v>2561</v>
      </c>
      <c r="F25" t="s">
        <v>2562</v>
      </c>
      <c r="G25" t="s">
        <v>2563</v>
      </c>
      <c r="H25" t="s">
        <v>2564</v>
      </c>
      <c r="I25" s="97" t="s">
        <v>5127</v>
      </c>
      <c r="J25" s="1194" t="s">
        <v>5570</v>
      </c>
    </row>
    <row r="26" spans="1:11" ht="12.75" customHeight="1" x14ac:dyDescent="0.35">
      <c r="A26" t="s">
        <v>2466</v>
      </c>
      <c r="B26" t="s">
        <v>2565</v>
      </c>
      <c r="C26" t="s">
        <v>2566</v>
      </c>
      <c r="D26" t="s">
        <v>2567</v>
      </c>
      <c r="E26" t="s">
        <v>2568</v>
      </c>
      <c r="F26" t="s">
        <v>2569</v>
      </c>
      <c r="G26" t="s">
        <v>2570</v>
      </c>
      <c r="H26" t="s">
        <v>2571</v>
      </c>
      <c r="I26" s="97" t="s">
        <v>5128</v>
      </c>
      <c r="J26" s="1194" t="s">
        <v>5571</v>
      </c>
    </row>
    <row r="27" spans="1:11" ht="12.75" customHeight="1" x14ac:dyDescent="0.35">
      <c r="A27" t="s">
        <v>2474</v>
      </c>
      <c r="B27" t="s">
        <v>2572</v>
      </c>
      <c r="C27" t="s">
        <v>2573</v>
      </c>
      <c r="D27" t="s">
        <v>2574</v>
      </c>
      <c r="E27" t="s">
        <v>2575</v>
      </c>
      <c r="F27" t="s">
        <v>2576</v>
      </c>
      <c r="G27" t="s">
        <v>2577</v>
      </c>
      <c r="H27" t="s">
        <v>2578</v>
      </c>
      <c r="I27" s="97" t="s">
        <v>5129</v>
      </c>
      <c r="J27" s="1194" t="s">
        <v>5572</v>
      </c>
    </row>
    <row r="28" spans="1:11" ht="12.75" customHeight="1" x14ac:dyDescent="0.35">
      <c r="A28" t="s">
        <v>2480</v>
      </c>
      <c r="B28" t="s">
        <v>2545</v>
      </c>
      <c r="C28" t="s">
        <v>2579</v>
      </c>
      <c r="D28" t="s">
        <v>2580</v>
      </c>
      <c r="E28" t="s">
        <v>2581</v>
      </c>
      <c r="F28" t="s">
        <v>2582</v>
      </c>
      <c r="G28" s="97" t="s">
        <v>2583</v>
      </c>
      <c r="H28" t="s">
        <v>2584</v>
      </c>
      <c r="I28" s="97" t="s">
        <v>5130</v>
      </c>
      <c r="J28" s="1194" t="s">
        <v>5573</v>
      </c>
    </row>
    <row r="29" spans="1:11" ht="12.75" customHeight="1" x14ac:dyDescent="0.35">
      <c r="A29" t="s">
        <v>2488</v>
      </c>
      <c r="B29" s="97" t="s">
        <v>2585</v>
      </c>
      <c r="C29" s="97" t="s">
        <v>2586</v>
      </c>
      <c r="D29" s="97" t="s">
        <v>2587</v>
      </c>
      <c r="E29" s="97" t="s">
        <v>2588</v>
      </c>
      <c r="F29" s="97" t="s">
        <v>2589</v>
      </c>
      <c r="G29" s="97" t="s">
        <v>2590</v>
      </c>
      <c r="H29" s="97" t="s">
        <v>2591</v>
      </c>
      <c r="I29" s="97" t="s">
        <v>5131</v>
      </c>
      <c r="J29" s="1194" t="s">
        <v>5574</v>
      </c>
    </row>
    <row r="30" spans="1:11" ht="12.75" customHeight="1" x14ac:dyDescent="0.35">
      <c r="A30" s="1297" t="s">
        <v>6095</v>
      </c>
      <c r="B30" s="1298" t="s">
        <v>6010</v>
      </c>
      <c r="C30" s="1298" t="s">
        <v>6110</v>
      </c>
      <c r="D30" s="1298" t="s">
        <v>6111</v>
      </c>
      <c r="E30" s="1298" t="s">
        <v>6112</v>
      </c>
      <c r="F30" s="1298" t="s">
        <v>6113</v>
      </c>
      <c r="G30" s="1298" t="s">
        <v>6114</v>
      </c>
      <c r="H30" s="1298" t="s">
        <v>6115</v>
      </c>
      <c r="I30" s="1298" t="s">
        <v>6116</v>
      </c>
      <c r="J30" s="1298" t="s">
        <v>6117</v>
      </c>
    </row>
    <row r="31" spans="1:11" ht="12.75" customHeight="1" x14ac:dyDescent="0.35">
      <c r="A31"/>
      <c r="B31"/>
      <c r="C31"/>
      <c r="D31"/>
      <c r="E31"/>
      <c r="F31"/>
      <c r="G31"/>
      <c r="H31"/>
      <c r="I31" s="97" t="s">
        <v>5132</v>
      </c>
      <c r="J31" s="1225" t="s">
        <v>5575</v>
      </c>
    </row>
    <row r="32" spans="1:11" ht="12.75" customHeight="1" x14ac:dyDescent="0.35">
      <c r="A32"/>
      <c r="B32" s="100" t="str">
        <f t="shared" ref="B32:H32" ca="1" si="6">""&amp;OFFSET(B32,Language,0)</f>
        <v>average</v>
      </c>
      <c r="C32" s="100" t="str">
        <f t="shared" ca="1" si="6"/>
        <v>opening balance</v>
      </c>
      <c r="D32" s="100" t="str">
        <f t="shared" ca="1" si="6"/>
        <v>closing balance</v>
      </c>
      <c r="E32" s="100" t="str">
        <f t="shared" ca="1" si="6"/>
        <v>Net assets</v>
      </c>
      <c r="F32" s="100" t="str">
        <f t="shared" ca="1" si="6"/>
        <v>Capital charge on net assets</v>
      </c>
      <c r="G32" s="100" t="str">
        <f t="shared" ca="1" si="6"/>
        <v>Group Net assets</v>
      </c>
      <c r="H32" s="100" t="str">
        <f t="shared" ca="1" si="6"/>
        <v>Group Capital charge on net assets</v>
      </c>
      <c r="I32" s="212" t="str">
        <f t="shared" ref="I32" ca="1" si="7">""&amp;OFFSET(I32,Language,0)</f>
        <v>Consolidated</v>
      </c>
      <c r="J32" s="1224" t="str">
        <f t="shared" ref="J32" ca="1" si="8">""&amp;OFFSET(J32,Language,0)</f>
        <v>Index (base year 100)</v>
      </c>
    </row>
    <row r="33" spans="1:10" ht="12.75" customHeight="1" x14ac:dyDescent="0.35">
      <c r="A33" t="s">
        <v>2442</v>
      </c>
      <c r="B33" t="s">
        <v>2592</v>
      </c>
      <c r="C33" t="s">
        <v>2593</v>
      </c>
      <c r="D33" t="s">
        <v>2594</v>
      </c>
      <c r="E33" t="s">
        <v>2595</v>
      </c>
      <c r="F33" t="s">
        <v>2596</v>
      </c>
      <c r="G33" t="s">
        <v>2597</v>
      </c>
      <c r="H33" t="s">
        <v>2598</v>
      </c>
      <c r="I33" s="97" t="s">
        <v>5133</v>
      </c>
      <c r="J33" s="1194" t="s">
        <v>5576</v>
      </c>
    </row>
    <row r="34" spans="1:10" ht="12.75" customHeight="1" x14ac:dyDescent="0.35">
      <c r="A34" t="s">
        <v>2450</v>
      </c>
      <c r="B34" t="s">
        <v>2599</v>
      </c>
      <c r="C34" t="s">
        <v>2600</v>
      </c>
      <c r="D34" t="s">
        <v>2601</v>
      </c>
      <c r="E34" t="s">
        <v>2602</v>
      </c>
      <c r="F34" t="s">
        <v>2603</v>
      </c>
      <c r="G34" t="s">
        <v>2604</v>
      </c>
      <c r="H34" t="s">
        <v>2605</v>
      </c>
      <c r="I34" s="97" t="s">
        <v>5134</v>
      </c>
      <c r="J34" s="1194" t="s">
        <v>5577</v>
      </c>
    </row>
    <row r="35" spans="1:10" ht="12.75" customHeight="1" x14ac:dyDescent="0.35">
      <c r="A35" t="s">
        <v>2458</v>
      </c>
      <c r="B35" t="s">
        <v>2606</v>
      </c>
      <c r="C35" t="s">
        <v>2607</v>
      </c>
      <c r="D35" t="s">
        <v>2608</v>
      </c>
      <c r="E35" t="s">
        <v>2609</v>
      </c>
      <c r="F35" t="s">
        <v>2610</v>
      </c>
      <c r="G35" t="s">
        <v>2611</v>
      </c>
      <c r="H35" t="s">
        <v>2612</v>
      </c>
      <c r="I35" s="97" t="s">
        <v>5135</v>
      </c>
      <c r="J35" s="1194" t="s">
        <v>5578</v>
      </c>
    </row>
    <row r="36" spans="1:10" ht="12.75" customHeight="1" x14ac:dyDescent="0.35">
      <c r="A36" t="s">
        <v>2466</v>
      </c>
      <c r="B36" t="s">
        <v>2613</v>
      </c>
      <c r="C36" t="s">
        <v>2614</v>
      </c>
      <c r="D36" t="s">
        <v>2615</v>
      </c>
      <c r="E36" t="s">
        <v>2616</v>
      </c>
      <c r="F36" t="s">
        <v>2617</v>
      </c>
      <c r="G36" t="s">
        <v>2618</v>
      </c>
      <c r="H36" t="s">
        <v>2619</v>
      </c>
      <c r="I36" s="97" t="s">
        <v>5136</v>
      </c>
      <c r="J36" s="1194" t="s">
        <v>5579</v>
      </c>
    </row>
    <row r="37" spans="1:10" ht="12.75" customHeight="1" x14ac:dyDescent="0.35">
      <c r="A37" t="s">
        <v>2474</v>
      </c>
      <c r="B37" t="s">
        <v>2620</v>
      </c>
      <c r="C37" t="s">
        <v>2621</v>
      </c>
      <c r="D37" t="s">
        <v>2622</v>
      </c>
      <c r="E37" t="s">
        <v>2623</v>
      </c>
      <c r="F37" t="s">
        <v>2624</v>
      </c>
      <c r="G37" t="s">
        <v>2625</v>
      </c>
      <c r="H37" t="s">
        <v>2626</v>
      </c>
      <c r="I37" s="97" t="s">
        <v>5137</v>
      </c>
      <c r="J37" s="1194" t="s">
        <v>5580</v>
      </c>
    </row>
    <row r="38" spans="1:10" ht="12.75" customHeight="1" x14ac:dyDescent="0.35">
      <c r="A38" t="s">
        <v>2480</v>
      </c>
      <c r="B38" t="s">
        <v>2627</v>
      </c>
      <c r="C38" t="s">
        <v>2628</v>
      </c>
      <c r="D38" t="s">
        <v>2629</v>
      </c>
      <c r="E38" t="s">
        <v>2630</v>
      </c>
      <c r="F38" t="s">
        <v>2631</v>
      </c>
      <c r="G38" t="s">
        <v>2632</v>
      </c>
      <c r="H38" t="s">
        <v>2633</v>
      </c>
      <c r="I38" s="97" t="s">
        <v>5138</v>
      </c>
      <c r="J38" s="1194" t="s">
        <v>5581</v>
      </c>
    </row>
    <row r="39" spans="1:10" ht="12.75" customHeight="1" x14ac:dyDescent="0.35">
      <c r="A39" t="s">
        <v>2488</v>
      </c>
      <c r="B39" t="s">
        <v>2634</v>
      </c>
      <c r="C39" t="s">
        <v>2635</v>
      </c>
      <c r="D39" t="s">
        <v>2636</v>
      </c>
      <c r="E39" t="s">
        <v>2637</v>
      </c>
      <c r="F39" t="s">
        <v>2638</v>
      </c>
      <c r="G39" t="s">
        <v>2639</v>
      </c>
      <c r="H39" t="s">
        <v>2640</v>
      </c>
      <c r="I39" s="97" t="s">
        <v>5139</v>
      </c>
      <c r="J39" s="1194" t="s">
        <v>5582</v>
      </c>
    </row>
    <row r="40" spans="1:10" x14ac:dyDescent="0.35">
      <c r="A40" s="1300" t="s">
        <v>6095</v>
      </c>
      <c r="B40" s="1301" t="s">
        <v>6119</v>
      </c>
      <c r="C40" s="1301" t="s">
        <v>6120</v>
      </c>
      <c r="D40" s="1301" t="s">
        <v>6121</v>
      </c>
      <c r="E40" s="1301" t="s">
        <v>6122</v>
      </c>
      <c r="F40" s="1301" t="s">
        <v>6123</v>
      </c>
      <c r="G40" s="1301" t="s">
        <v>6124</v>
      </c>
      <c r="H40" s="1301" t="s">
        <v>6125</v>
      </c>
      <c r="I40" s="1301" t="s">
        <v>6126</v>
      </c>
      <c r="J40" s="1301" t="s">
        <v>6127</v>
      </c>
    </row>
  </sheetData>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pageSetUpPr autoPageBreaks="0"/>
  </sheetPr>
  <dimension ref="A1:J69"/>
  <sheetViews>
    <sheetView workbookViewId="0">
      <selection activeCell="E52" sqref="E52:E53"/>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8.54296875" style="97" customWidth="1"/>
    <col min="7" max="7" width="9.26953125" style="97" customWidth="1"/>
    <col min="8" max="10" width="5.7265625" style="97" customWidth="1"/>
    <col min="11" max="16384" width="9.1796875" style="97"/>
  </cols>
  <sheetData>
    <row r="1" spans="1:8" ht="12.75" customHeight="1" x14ac:dyDescent="0.35"/>
    <row r="2" spans="1:8" ht="12.75" customHeight="1" x14ac:dyDescent="0.35"/>
    <row r="3" spans="1:8" ht="12.75" customHeight="1" x14ac:dyDescent="0.35">
      <c r="C3" s="97" t="s">
        <v>2</v>
      </c>
    </row>
    <row r="4" spans="1:8" ht="12.75" customHeight="1" x14ac:dyDescent="0.35"/>
    <row r="5" spans="1:8" ht="12.75" customHeight="1" x14ac:dyDescent="0.35">
      <c r="B5" s="97" t="s">
        <v>3</v>
      </c>
      <c r="C5" s="97" t="s">
        <v>4</v>
      </c>
      <c r="F5" s="1332" t="s">
        <v>6225</v>
      </c>
    </row>
    <row r="6" spans="1:8" ht="12.75" customHeight="1" x14ac:dyDescent="0.35"/>
    <row r="7" spans="1:8" ht="12.75" customHeight="1" x14ac:dyDescent="0.35">
      <c r="B7" s="97" t="s">
        <v>5</v>
      </c>
      <c r="C7" s="97" t="s">
        <v>6</v>
      </c>
      <c r="H7" s="97" t="s">
        <v>7</v>
      </c>
    </row>
    <row r="8" spans="1:8" ht="12.75" customHeight="1" x14ac:dyDescent="0.35">
      <c r="C8" s="97" t="s">
        <v>8</v>
      </c>
    </row>
    <row r="9" spans="1:8" ht="12.75" customHeight="1" x14ac:dyDescent="0.35">
      <c r="B9" s="97" t="s">
        <v>9</v>
      </c>
      <c r="C9" s="97" t="s">
        <v>10</v>
      </c>
    </row>
    <row r="10" spans="1:8" ht="12.75" customHeight="1" x14ac:dyDescent="0.35">
      <c r="B10" s="97" t="s">
        <v>11</v>
      </c>
      <c r="C10" s="97" t="s">
        <v>12</v>
      </c>
    </row>
    <row r="11" spans="1:8" ht="12.75" customHeight="1" x14ac:dyDescent="0.35"/>
    <row r="12" spans="1:8" ht="12.75" customHeight="1" x14ac:dyDescent="0.35">
      <c r="C12" s="97" t="s">
        <v>13</v>
      </c>
    </row>
    <row r="13" spans="1:8" ht="12.75" customHeight="1" x14ac:dyDescent="0.35">
      <c r="C13" s="97" t="s">
        <v>14</v>
      </c>
    </row>
    <row r="14" spans="1:8" ht="12.75" customHeight="1" x14ac:dyDescent="0.35"/>
    <row r="15" spans="1:8" ht="12.75" customHeight="1" x14ac:dyDescent="0.35">
      <c r="F15" s="97" t="s">
        <v>15</v>
      </c>
    </row>
    <row r="16" spans="1:8" ht="12.75" customHeight="1" x14ac:dyDescent="0.35">
      <c r="A16" s="97">
        <v>1</v>
      </c>
      <c r="C16" s="97" t="s">
        <v>16</v>
      </c>
      <c r="G16" s="1284" t="str">
        <f>IF(BeginEnd=0,"(in the beginning of period)","(in the end of period)")</f>
        <v>(in the beginning of period)</v>
      </c>
    </row>
    <row r="17" spans="2:7" ht="12.75" customHeight="1" x14ac:dyDescent="0.35">
      <c r="C17" s="97" t="s">
        <v>17</v>
      </c>
      <c r="G17" s="1284" t="str">
        <f>IF(CalcPoint=0,"(in the beginning of period)","(in the end of period)")</f>
        <v>(in the beginning of period)</v>
      </c>
    </row>
    <row r="18" spans="2:7" ht="12.75" customHeight="1" x14ac:dyDescent="0.35">
      <c r="C18" s="97" t="s">
        <v>18</v>
      </c>
      <c r="G18" s="97" t="s">
        <v>19</v>
      </c>
    </row>
    <row r="19" spans="2:7" ht="12.75" customHeight="1" x14ac:dyDescent="0.35"/>
    <row r="20" spans="2:7" ht="12.75" customHeight="1" x14ac:dyDescent="0.35">
      <c r="C20" s="97" t="s">
        <v>20</v>
      </c>
    </row>
    <row r="21" spans="2:7" ht="12.75" customHeight="1" x14ac:dyDescent="0.35">
      <c r="C21" s="97" t="s">
        <v>21</v>
      </c>
    </row>
    <row r="22" spans="2:7" ht="12.75" customHeight="1" x14ac:dyDescent="0.35"/>
    <row r="23" spans="2:7" ht="12.75" customHeight="1" x14ac:dyDescent="0.35">
      <c r="C23" s="97" t="s">
        <v>22</v>
      </c>
      <c r="G23" s="97" t="str">
        <f>IF(J23="","%  (required rate of return)","%")</f>
        <v>%  (required rate of return)</v>
      </c>
    </row>
    <row r="24" spans="2:7" ht="12.75" customHeight="1" x14ac:dyDescent="0.35">
      <c r="B24" s="97" t="s">
        <v>24</v>
      </c>
      <c r="C24" s="97" t="s">
        <v>25</v>
      </c>
    </row>
    <row r="25" spans="2:7" ht="12.75" customHeight="1" x14ac:dyDescent="0.35"/>
    <row r="26" spans="2:7" ht="12.75" customHeight="1" x14ac:dyDescent="0.35">
      <c r="C26" s="97" t="s">
        <v>26</v>
      </c>
    </row>
    <row r="27" spans="2:7" ht="12.75" customHeight="1" x14ac:dyDescent="0.35">
      <c r="C27" s="97" t="s">
        <v>25</v>
      </c>
    </row>
    <row r="28" spans="2:7" ht="12.75" customHeight="1" x14ac:dyDescent="0.35"/>
    <row r="29" spans="2:7" ht="12.75" customHeight="1" x14ac:dyDescent="0.35"/>
    <row r="30" spans="2:7" ht="12.75" customHeight="1" x14ac:dyDescent="0.35">
      <c r="C30" s="97" t="s">
        <v>28</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30</v>
      </c>
    </row>
    <row r="46" spans="3:10" ht="12.75" customHeight="1" x14ac:dyDescent="0.35"/>
    <row r="47" spans="3:10" ht="12.75" customHeight="1" x14ac:dyDescent="0.35">
      <c r="C47" s="97" t="s">
        <v>4</v>
      </c>
      <c r="J47" s="1284" t="str">
        <f>"Calculation term: "&amp;FIXED((InvTime+InvTimeMonths/12+InvTime2+InvTimeMonths2/12),1)&amp;" years"</f>
        <v>Calculation term: 5.3 years</v>
      </c>
    </row>
    <row r="48" spans="3:10" ht="12.75" customHeight="1" x14ac:dyDescent="0.35"/>
    <row r="49" spans="3:5" ht="12.75" customHeight="1" x14ac:dyDescent="0.35"/>
    <row r="50" spans="3:5" ht="12.75" customHeight="1" x14ac:dyDescent="0.35">
      <c r="C50" s="97" t="s">
        <v>31</v>
      </c>
      <c r="E50" s="1332" t="s">
        <v>6227</v>
      </c>
    </row>
    <row r="51" spans="3:5" ht="12.75" customHeight="1" x14ac:dyDescent="0.35">
      <c r="C51" s="97" t="s">
        <v>32</v>
      </c>
      <c r="E51" s="1332" t="s">
        <v>6228</v>
      </c>
    </row>
    <row r="52" spans="3:5" ht="12.75" customHeight="1" x14ac:dyDescent="0.35">
      <c r="E52" s="1332" t="s">
        <v>6229</v>
      </c>
    </row>
    <row r="53" spans="3:5" ht="12.75" customHeight="1" x14ac:dyDescent="0.35">
      <c r="E53" s="1332" t="s">
        <v>6230</v>
      </c>
    </row>
    <row r="54" spans="3:5" ht="12.75" customHeight="1" x14ac:dyDescent="0.35"/>
    <row r="55" spans="3:5" ht="12.75" customHeight="1" x14ac:dyDescent="0.35"/>
    <row r="56" spans="3:5" ht="12.75" customHeight="1" x14ac:dyDescent="0.35">
      <c r="C56" s="97" t="s">
        <v>33</v>
      </c>
    </row>
    <row r="57" spans="3:5" ht="12.75" customHeight="1" x14ac:dyDescent="0.35"/>
    <row r="58" spans="3:5" ht="12.75" customHeight="1" x14ac:dyDescent="0.35">
      <c r="C58" s="97" t="s">
        <v>34</v>
      </c>
      <c r="E58" s="1332" t="s">
        <v>6231</v>
      </c>
    </row>
    <row r="59" spans="3:5" ht="12.75" customHeight="1" x14ac:dyDescent="0.35">
      <c r="E59" s="1332" t="s">
        <v>6232</v>
      </c>
    </row>
    <row r="60" spans="3:5" ht="12.75" customHeight="1" x14ac:dyDescent="0.35">
      <c r="E60" s="1387" t="s">
        <v>45</v>
      </c>
    </row>
    <row r="61" spans="3:5" ht="12.75" customHeight="1" x14ac:dyDescent="0.35"/>
    <row r="69" spans="3:3" x14ac:dyDescent="0.35">
      <c r="C69" s="97" t="s">
        <v>35</v>
      </c>
    </row>
  </sheetData>
  <printOptions gridLines="1"/>
  <pageMargins left="0.75" right="0.75" top="1" bottom="1" header="0.5" footer="0.5"/>
  <pageSetup paperSize="9" orientation="portrait" r:id="rId1"/>
  <headerFooter>
    <oddHeader>&amp;C&amp;A</oddHeader>
    <oddFooter>&amp;CPage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autoPageBreaks="0"/>
  </sheetPr>
  <dimension ref="A1:J69"/>
  <sheetViews>
    <sheetView workbookViewId="0">
      <selection activeCell="E59" sqref="E59:E60"/>
    </sheetView>
  </sheetViews>
  <sheetFormatPr defaultColWidth="9.1796875" defaultRowHeight="14.5" x14ac:dyDescent="0.35"/>
  <cols>
    <col min="1" max="1" width="2.1796875" style="97" customWidth="1"/>
    <col min="2" max="2" width="7.1796875" style="97" customWidth="1"/>
    <col min="3" max="4" width="5.7265625" style="97" customWidth="1"/>
    <col min="5" max="5" width="13.81640625" style="97" customWidth="1"/>
    <col min="6" max="8" width="10.54296875" style="97" customWidth="1"/>
    <col min="9" max="10" width="5.7265625" style="97" customWidth="1"/>
    <col min="11" max="16384" width="9.1796875" style="97"/>
  </cols>
  <sheetData>
    <row r="1" spans="1:10" ht="12.75" customHeight="1" x14ac:dyDescent="0.35">
      <c r="A1" s="28"/>
      <c r="B1" s="28"/>
      <c r="C1" s="28"/>
      <c r="D1" s="28"/>
      <c r="E1" s="28"/>
      <c r="F1" s="28"/>
      <c r="G1" s="28"/>
      <c r="H1" s="28"/>
      <c r="I1"/>
      <c r="J1"/>
    </row>
    <row r="2" spans="1:10" ht="12.75" customHeight="1" x14ac:dyDescent="0.35">
      <c r="A2" s="28"/>
      <c r="B2" s="28"/>
      <c r="C2" s="28"/>
      <c r="D2" s="28"/>
      <c r="E2" s="28"/>
      <c r="F2" s="28"/>
      <c r="G2" s="28"/>
      <c r="H2" s="28"/>
      <c r="I2"/>
      <c r="J2"/>
    </row>
    <row r="3" spans="1:10" ht="12.75" customHeight="1" x14ac:dyDescent="0.35">
      <c r="A3" s="28"/>
      <c r="B3" s="28"/>
      <c r="C3" s="28" t="s">
        <v>2641</v>
      </c>
      <c r="D3" s="28"/>
      <c r="E3" s="28"/>
      <c r="F3" s="28"/>
      <c r="G3" s="28"/>
      <c r="H3" s="28"/>
      <c r="I3"/>
      <c r="J3"/>
    </row>
    <row r="4" spans="1:10" ht="12.75" customHeight="1" x14ac:dyDescent="0.35">
      <c r="A4" s="28"/>
      <c r="B4" s="28"/>
      <c r="C4" s="28"/>
      <c r="D4" s="28"/>
      <c r="E4" s="28"/>
      <c r="F4" s="28"/>
      <c r="G4" s="28"/>
      <c r="H4" s="28"/>
      <c r="I4"/>
      <c r="J4"/>
    </row>
    <row r="5" spans="1:10" ht="12.75" customHeight="1" x14ac:dyDescent="0.35">
      <c r="A5" s="28"/>
      <c r="B5" s="28" t="s">
        <v>2642</v>
      </c>
      <c r="C5" s="28" t="s">
        <v>2643</v>
      </c>
      <c r="D5" s="28"/>
      <c r="E5" s="28"/>
      <c r="F5" s="1377" t="s">
        <v>6293</v>
      </c>
      <c r="G5" s="28"/>
      <c r="H5" s="28"/>
      <c r="I5"/>
      <c r="J5"/>
    </row>
    <row r="6" spans="1:10" ht="12.75" customHeight="1" x14ac:dyDescent="0.35">
      <c r="A6" s="28"/>
      <c r="B6" s="28"/>
      <c r="C6" s="28"/>
      <c r="D6" s="28"/>
      <c r="E6" s="28"/>
      <c r="F6" s="28"/>
      <c r="G6" s="28"/>
      <c r="H6" s="28"/>
      <c r="I6"/>
      <c r="J6"/>
    </row>
    <row r="7" spans="1:10" ht="12.75" customHeight="1" x14ac:dyDescent="0.35">
      <c r="A7" s="28"/>
      <c r="B7" s="28" t="s">
        <v>2644</v>
      </c>
      <c r="C7" s="28" t="s">
        <v>2645</v>
      </c>
      <c r="D7" s="28"/>
      <c r="E7" s="28"/>
      <c r="F7" s="28"/>
      <c r="G7" s="28"/>
      <c r="H7" s="28" t="s">
        <v>2646</v>
      </c>
      <c r="I7"/>
      <c r="J7"/>
    </row>
    <row r="8" spans="1:10" ht="12.75" customHeight="1" x14ac:dyDescent="0.35">
      <c r="A8" s="28"/>
      <c r="B8" s="28"/>
      <c r="C8" s="28" t="s">
        <v>2647</v>
      </c>
      <c r="D8" s="28"/>
      <c r="E8" s="28"/>
      <c r="F8" s="28"/>
      <c r="G8" s="28"/>
      <c r="H8" s="28"/>
      <c r="I8"/>
      <c r="J8"/>
    </row>
    <row r="9" spans="1:10" ht="12.75" customHeight="1" x14ac:dyDescent="0.35">
      <c r="A9" s="28"/>
      <c r="B9" s="28" t="s">
        <v>2648</v>
      </c>
      <c r="C9" s="28" t="s">
        <v>2649</v>
      </c>
      <c r="D9" s="28"/>
      <c r="E9" s="28"/>
      <c r="F9" s="28"/>
      <c r="G9" s="28"/>
      <c r="H9" s="28"/>
      <c r="I9"/>
      <c r="J9"/>
    </row>
    <row r="10" spans="1:10" ht="12.75" customHeight="1" x14ac:dyDescent="0.35">
      <c r="A10" s="28"/>
      <c r="B10" s="28" t="s">
        <v>2644</v>
      </c>
      <c r="C10" s="103" t="s">
        <v>2650</v>
      </c>
      <c r="D10" s="28"/>
      <c r="E10" s="28"/>
      <c r="F10" s="28"/>
      <c r="G10" s="28"/>
      <c r="H10" s="28"/>
      <c r="I10"/>
      <c r="J10"/>
    </row>
    <row r="11" spans="1:10" ht="12.75" customHeight="1" x14ac:dyDescent="0.35">
      <c r="A11" s="28"/>
      <c r="B11" s="28"/>
      <c r="C11" s="28"/>
      <c r="D11" s="28"/>
      <c r="E11" s="28"/>
      <c r="F11" s="28"/>
      <c r="G11" s="28"/>
      <c r="H11" s="28"/>
      <c r="I11"/>
      <c r="J11"/>
    </row>
    <row r="12" spans="1:10" ht="12.75" customHeight="1" x14ac:dyDescent="0.35">
      <c r="A12" s="28"/>
      <c r="B12" s="28"/>
      <c r="C12" s="28" t="s">
        <v>2651</v>
      </c>
      <c r="D12" s="28"/>
      <c r="E12" s="28"/>
      <c r="F12" s="28"/>
      <c r="G12" s="28"/>
      <c r="H12" s="28"/>
      <c r="I12"/>
      <c r="J12"/>
    </row>
    <row r="13" spans="1:10" ht="12.75" customHeight="1" x14ac:dyDescent="0.35">
      <c r="A13" s="28"/>
      <c r="B13" s="28"/>
      <c r="C13" s="28" t="s">
        <v>2652</v>
      </c>
      <c r="D13" s="28"/>
      <c r="E13" s="28"/>
      <c r="F13" s="28"/>
      <c r="G13" s="28"/>
      <c r="H13" s="28"/>
      <c r="I13"/>
      <c r="J13"/>
    </row>
    <row r="14" spans="1:10" ht="12.75" customHeight="1" x14ac:dyDescent="0.35">
      <c r="A14" s="28"/>
      <c r="B14" s="28"/>
      <c r="C14" s="28"/>
      <c r="D14" s="28"/>
      <c r="E14" s="28"/>
      <c r="F14" s="28"/>
      <c r="G14" s="28"/>
      <c r="H14" s="28"/>
      <c r="I14"/>
      <c r="J14"/>
    </row>
    <row r="15" spans="1:10" ht="12.75" customHeight="1" x14ac:dyDescent="0.35">
      <c r="A15" s="28"/>
      <c r="B15" s="28"/>
      <c r="C15" s="28"/>
      <c r="D15" s="28"/>
      <c r="E15" s="28"/>
      <c r="F15" s="28" t="s">
        <v>2653</v>
      </c>
      <c r="G15" s="28"/>
      <c r="H15" s="28"/>
      <c r="I15"/>
      <c r="J15"/>
    </row>
    <row r="16" spans="1:10" ht="12.75" customHeight="1" x14ac:dyDescent="0.35">
      <c r="A16" s="38">
        <v>2</v>
      </c>
      <c r="B16" s="28"/>
      <c r="C16" s="28" t="s">
        <v>2654</v>
      </c>
      <c r="D16" s="28"/>
      <c r="E16" s="28"/>
      <c r="F16" s="28"/>
      <c r="G16" s="28" t="str">
        <f>IF(BeginEnd=0,"(kauden alussa)","(kauden lopussa)")</f>
        <v>(kauden alussa)</v>
      </c>
      <c r="H16" s="28"/>
      <c r="I16"/>
      <c r="J16"/>
    </row>
    <row r="17" spans="1:10" ht="12.75" customHeight="1" x14ac:dyDescent="0.35">
      <c r="A17" s="28"/>
      <c r="B17" s="28"/>
      <c r="C17" s="28" t="s">
        <v>2655</v>
      </c>
      <c r="D17" s="28"/>
      <c r="E17" s="28"/>
      <c r="F17" s="28"/>
      <c r="G17" s="28" t="str">
        <f>IF(CalcPoint=0,"(kauden alussa)","(kauden lopussa)")</f>
        <v>(kauden alussa)</v>
      </c>
      <c r="H17" s="28"/>
      <c r="I17"/>
      <c r="J17"/>
    </row>
    <row r="18" spans="1:10" ht="12.75" customHeight="1" x14ac:dyDescent="0.35">
      <c r="A18" s="28"/>
      <c r="B18" s="28"/>
      <c r="C18" s="28" t="s">
        <v>2656</v>
      </c>
      <c r="D18" s="28"/>
      <c r="E18" s="28"/>
      <c r="F18" s="28"/>
      <c r="G18" s="28" t="s">
        <v>2657</v>
      </c>
      <c r="H18" s="28"/>
      <c r="I18"/>
      <c r="J18"/>
    </row>
    <row r="19" spans="1:10" ht="12.75" customHeight="1" x14ac:dyDescent="0.35">
      <c r="A19" s="28"/>
      <c r="B19" s="28"/>
      <c r="C19" s="28"/>
      <c r="D19" s="28"/>
      <c r="E19" s="28"/>
      <c r="F19" s="28"/>
      <c r="G19" s="28"/>
      <c r="H19" s="28"/>
      <c r="I19"/>
      <c r="J19"/>
    </row>
    <row r="20" spans="1:10" ht="12.75" customHeight="1" x14ac:dyDescent="0.35">
      <c r="A20" s="28"/>
      <c r="B20" s="28"/>
      <c r="C20" s="28" t="s">
        <v>2658</v>
      </c>
      <c r="D20" s="28"/>
      <c r="E20" s="28"/>
      <c r="F20" s="28"/>
      <c r="G20" s="28"/>
      <c r="H20" s="28"/>
      <c r="I20"/>
      <c r="J20"/>
    </row>
    <row r="21" spans="1:10" ht="12.75" customHeight="1" x14ac:dyDescent="0.35">
      <c r="A21" s="28"/>
      <c r="B21" s="28"/>
      <c r="C21" s="28" t="s">
        <v>2659</v>
      </c>
      <c r="D21" s="28"/>
      <c r="E21" s="28"/>
      <c r="F21" s="28"/>
      <c r="G21" s="28"/>
      <c r="H21" s="28"/>
      <c r="I21"/>
      <c r="J21"/>
    </row>
    <row r="22" spans="1:10" ht="12.75" customHeight="1" x14ac:dyDescent="0.35">
      <c r="A22" s="28"/>
      <c r="B22" s="28"/>
      <c r="C22" s="28"/>
      <c r="D22" s="28"/>
      <c r="E22" s="28"/>
      <c r="F22" s="28"/>
      <c r="G22" s="28"/>
      <c r="H22" s="28"/>
      <c r="I22"/>
      <c r="J22"/>
    </row>
    <row r="23" spans="1:10" ht="12.75" customHeight="1" x14ac:dyDescent="0.35">
      <c r="A23" s="28"/>
      <c r="B23" s="28"/>
      <c r="C23" s="28" t="s">
        <v>2660</v>
      </c>
      <c r="D23" s="28"/>
      <c r="E23" s="28"/>
      <c r="F23" s="28"/>
      <c r="G23" s="28" t="str">
        <f>IF(J23="","%  ( = pääoman tuottovaatimus )","%")</f>
        <v>%  ( = pääoman tuottovaatimus )</v>
      </c>
      <c r="H23" s="28"/>
      <c r="I23"/>
      <c r="J23"/>
    </row>
    <row r="24" spans="1:10" ht="12.75" customHeight="1" x14ac:dyDescent="0.35">
      <c r="A24" s="28"/>
      <c r="B24" s="28" t="s">
        <v>2661</v>
      </c>
      <c r="C24" s="28" t="s">
        <v>2662</v>
      </c>
      <c r="D24" s="28"/>
      <c r="E24" s="28"/>
      <c r="F24" s="28"/>
      <c r="G24" s="28"/>
      <c r="H24" s="28"/>
      <c r="I24"/>
      <c r="J24"/>
    </row>
    <row r="25" spans="1:10" ht="12.75" customHeight="1" x14ac:dyDescent="0.35">
      <c r="A25" s="28"/>
      <c r="B25" s="28"/>
      <c r="C25" s="28"/>
      <c r="D25" s="28"/>
      <c r="E25" s="28"/>
      <c r="F25" s="28"/>
      <c r="G25" s="28"/>
      <c r="H25" s="28"/>
      <c r="I25"/>
      <c r="J25"/>
    </row>
    <row r="26" spans="1:10" ht="12.75" customHeight="1" x14ac:dyDescent="0.35">
      <c r="A26" s="28"/>
      <c r="B26" s="28"/>
      <c r="C26" s="28" t="s">
        <v>2663</v>
      </c>
      <c r="D26" s="28"/>
      <c r="E26" s="28"/>
      <c r="F26" s="28"/>
      <c r="G26" s="28"/>
      <c r="H26" s="28"/>
      <c r="I26"/>
      <c r="J26"/>
    </row>
    <row r="27" spans="1:10" ht="12.75" customHeight="1" x14ac:dyDescent="0.35">
      <c r="A27" s="28"/>
      <c r="B27" s="28"/>
      <c r="C27" s="28" t="s">
        <v>2662</v>
      </c>
      <c r="D27" s="28"/>
      <c r="E27" s="28"/>
      <c r="F27" s="28"/>
      <c r="G27" s="28"/>
      <c r="H27" s="28"/>
      <c r="I27"/>
      <c r="J27"/>
    </row>
    <row r="28" spans="1:10" ht="12.75" customHeight="1" x14ac:dyDescent="0.35">
      <c r="A28" s="28"/>
      <c r="B28" s="28"/>
      <c r="C28" s="28"/>
      <c r="D28" s="28"/>
      <c r="E28" s="28"/>
      <c r="F28" s="28"/>
      <c r="G28" s="28"/>
      <c r="H28" s="28"/>
      <c r="I28"/>
      <c r="J28"/>
    </row>
    <row r="29" spans="1:10" ht="12.75" customHeight="1" x14ac:dyDescent="0.35">
      <c r="A29" s="28"/>
      <c r="B29" s="28"/>
      <c r="C29" s="28"/>
      <c r="D29" s="28"/>
      <c r="E29" s="28"/>
      <c r="F29" s="28"/>
      <c r="G29" s="28"/>
      <c r="H29" s="28"/>
      <c r="I29"/>
      <c r="J29"/>
    </row>
    <row r="30" spans="1:10" ht="12.75" customHeight="1" x14ac:dyDescent="0.35">
      <c r="A30" s="28"/>
      <c r="B30" s="28"/>
      <c r="C30" s="28" t="s">
        <v>2664</v>
      </c>
      <c r="D30" s="28"/>
      <c r="E30" s="28"/>
      <c r="F30" s="28"/>
      <c r="G30" s="28"/>
      <c r="H30" s="28"/>
      <c r="I30"/>
      <c r="J30"/>
    </row>
    <row r="31" spans="1:10" ht="12.75" customHeight="1" x14ac:dyDescent="0.35">
      <c r="A31" s="28"/>
      <c r="B31" s="28"/>
      <c r="C31" s="28"/>
      <c r="D31" s="28"/>
      <c r="E31" s="28"/>
      <c r="F31" s="28"/>
      <c r="G31" s="28"/>
      <c r="H31" s="28"/>
      <c r="I31"/>
      <c r="J31"/>
    </row>
    <row r="32" spans="1:10" ht="12.75" customHeight="1" x14ac:dyDescent="0.35">
      <c r="A32" s="28"/>
      <c r="B32" s="28"/>
      <c r="C32" s="28"/>
      <c r="D32" s="28"/>
      <c r="E32" s="28"/>
      <c r="F32" s="28"/>
      <c r="G32" s="28"/>
      <c r="H32" s="28"/>
      <c r="I32"/>
      <c r="J32"/>
    </row>
    <row r="33" spans="1:10" ht="12.75" customHeight="1" x14ac:dyDescent="0.35">
      <c r="A33" s="28"/>
      <c r="B33" s="28"/>
      <c r="C33" s="28"/>
      <c r="D33" s="28"/>
      <c r="E33" s="28"/>
      <c r="F33" s="28"/>
      <c r="G33" s="28"/>
      <c r="H33" s="28"/>
      <c r="I33"/>
      <c r="J33"/>
    </row>
    <row r="34" spans="1:10" ht="12.75" customHeight="1" x14ac:dyDescent="0.35">
      <c r="A34" s="28"/>
      <c r="B34" s="28"/>
      <c r="C34" s="28"/>
      <c r="D34" s="28"/>
      <c r="E34" s="28"/>
      <c r="F34" s="28"/>
      <c r="G34" s="28"/>
      <c r="H34" s="28"/>
      <c r="I34"/>
      <c r="J34"/>
    </row>
    <row r="35" spans="1:10" ht="12.75" customHeight="1" x14ac:dyDescent="0.35">
      <c r="A35" s="28"/>
      <c r="B35" s="28"/>
      <c r="C35" s="28"/>
      <c r="D35" s="28"/>
      <c r="E35" s="28"/>
      <c r="F35" s="28"/>
      <c r="G35" s="28"/>
      <c r="H35" s="28"/>
      <c r="I35"/>
      <c r="J35"/>
    </row>
    <row r="36" spans="1:10" ht="12.75" customHeight="1" x14ac:dyDescent="0.35">
      <c r="A36" s="28"/>
      <c r="B36" s="28"/>
      <c r="C36" s="28"/>
      <c r="D36" s="28"/>
      <c r="E36" s="28"/>
      <c r="F36" s="28"/>
      <c r="G36" s="28"/>
      <c r="H36" s="28"/>
      <c r="I36"/>
      <c r="J36"/>
    </row>
    <row r="37" spans="1:10" ht="12.75" customHeight="1" x14ac:dyDescent="0.35">
      <c r="A37" s="28"/>
      <c r="B37" s="28"/>
      <c r="C37" s="28"/>
      <c r="D37" s="28"/>
      <c r="E37" s="28"/>
      <c r="F37" s="28"/>
      <c r="G37" s="28"/>
      <c r="H37" s="28"/>
      <c r="I37"/>
      <c r="J37"/>
    </row>
    <row r="38" spans="1:10" ht="12.75" customHeight="1" x14ac:dyDescent="0.35">
      <c r="A38" s="28"/>
      <c r="B38" s="28"/>
      <c r="C38" s="28"/>
      <c r="D38" s="28"/>
      <c r="E38" s="28"/>
      <c r="F38" s="28"/>
      <c r="G38" s="28"/>
      <c r="H38" s="28"/>
      <c r="I38"/>
      <c r="J38"/>
    </row>
    <row r="39" spans="1:10" ht="12.75" customHeight="1" x14ac:dyDescent="0.35">
      <c r="A39" s="28"/>
      <c r="B39" s="28"/>
      <c r="C39" s="28"/>
      <c r="D39" s="28"/>
      <c r="E39" s="28"/>
      <c r="F39" s="28"/>
      <c r="G39" s="28"/>
      <c r="H39" s="28"/>
      <c r="I39"/>
      <c r="J39"/>
    </row>
    <row r="40" spans="1:10" ht="12.75" customHeight="1" x14ac:dyDescent="0.35">
      <c r="A40" s="28"/>
      <c r="B40" s="28"/>
      <c r="C40" s="28"/>
      <c r="D40" s="28"/>
      <c r="E40" s="28"/>
      <c r="F40" s="28"/>
      <c r="G40" s="28"/>
      <c r="H40" s="28"/>
      <c r="I40"/>
      <c r="J40"/>
    </row>
    <row r="41" spans="1:10" ht="12.75" customHeight="1" x14ac:dyDescent="0.35">
      <c r="A41" s="28"/>
      <c r="B41" s="28"/>
      <c r="C41" s="28"/>
      <c r="D41" s="28"/>
      <c r="E41" s="28"/>
      <c r="F41" s="28"/>
      <c r="G41" s="28"/>
      <c r="H41" s="28"/>
      <c r="I41"/>
      <c r="J41"/>
    </row>
    <row r="42" spans="1:10" ht="12.75" customHeight="1" x14ac:dyDescent="0.35">
      <c r="A42" s="28"/>
      <c r="B42" s="28"/>
      <c r="C42" s="28"/>
      <c r="D42" s="28"/>
      <c r="E42" s="28"/>
      <c r="F42" s="28"/>
      <c r="G42" s="28"/>
      <c r="H42" s="28"/>
      <c r="I42"/>
      <c r="J42"/>
    </row>
    <row r="43" spans="1:10" ht="12.75" customHeight="1" x14ac:dyDescent="0.35">
      <c r="A43" s="28"/>
      <c r="B43" s="28"/>
      <c r="C43" s="28"/>
      <c r="D43" s="28"/>
      <c r="E43" s="28"/>
      <c r="F43" s="28"/>
      <c r="G43" s="28"/>
      <c r="H43" s="28"/>
      <c r="I43"/>
      <c r="J43"/>
    </row>
    <row r="44" spans="1:10" ht="12.75" customHeight="1" x14ac:dyDescent="0.35">
      <c r="A44" s="28"/>
      <c r="B44" s="28"/>
      <c r="C44" s="28"/>
      <c r="D44" s="28"/>
      <c r="E44" s="28"/>
      <c r="F44" s="28"/>
      <c r="G44" s="28"/>
      <c r="H44" s="28"/>
      <c r="I44"/>
      <c r="J44"/>
    </row>
    <row r="45" spans="1:10" ht="12.75" customHeight="1" x14ac:dyDescent="0.35">
      <c r="A45" s="28"/>
      <c r="B45" s="28"/>
      <c r="C45" s="28" t="s">
        <v>2665</v>
      </c>
      <c r="D45" s="28"/>
      <c r="E45" s="28"/>
      <c r="F45" s="28"/>
      <c r="G45" s="28"/>
      <c r="H45" s="28"/>
      <c r="I45"/>
      <c r="J45"/>
    </row>
    <row r="46" spans="1:10" ht="12.75" customHeight="1" x14ac:dyDescent="0.35">
      <c r="A46" s="28"/>
      <c r="B46" s="28"/>
      <c r="C46" s="28"/>
      <c r="D46" s="28"/>
      <c r="E46" s="28"/>
      <c r="F46" s="28"/>
      <c r="G46" s="28"/>
      <c r="H46" s="28"/>
      <c r="I46"/>
      <c r="J46"/>
    </row>
    <row r="47" spans="1:10" ht="12.75" customHeight="1" x14ac:dyDescent="0.35">
      <c r="A47" s="28"/>
      <c r="B47" s="28"/>
      <c r="C47" s="28" t="s">
        <v>2643</v>
      </c>
      <c r="D47" s="28"/>
      <c r="E47" s="28"/>
      <c r="F47" s="28"/>
      <c r="G47" s="28"/>
      <c r="H47"/>
      <c r="I47"/>
      <c r="J47" s="28" t="str">
        <f>"Tarkasteluaika: "&amp;FIXED((InvTime+InvTimeMonths/12+InvTime2+InvTimeMonths2/12),1)&amp;" v."</f>
        <v>Tarkasteluaika: 5.3 v.</v>
      </c>
    </row>
    <row r="48" spans="1:10" ht="12.75" customHeight="1" x14ac:dyDescent="0.35">
      <c r="A48" s="28"/>
      <c r="B48" s="28"/>
      <c r="C48" s="28"/>
      <c r="D48" s="28"/>
      <c r="E48" s="28"/>
      <c r="F48" s="28"/>
      <c r="G48" s="28"/>
      <c r="H48" s="28"/>
      <c r="I48"/>
      <c r="J48"/>
    </row>
    <row r="49" spans="1:10" ht="12.75" customHeight="1" x14ac:dyDescent="0.35">
      <c r="A49" s="28"/>
      <c r="B49" s="28"/>
      <c r="C49" s="28"/>
      <c r="D49" s="28"/>
      <c r="E49" s="28"/>
      <c r="F49" s="28"/>
      <c r="G49" s="28"/>
      <c r="H49" s="28"/>
      <c r="I49"/>
      <c r="J49"/>
    </row>
    <row r="50" spans="1:10" ht="12.75" customHeight="1" x14ac:dyDescent="0.35">
      <c r="A50" s="28"/>
      <c r="B50" s="28"/>
      <c r="C50" s="28" t="s">
        <v>2666</v>
      </c>
      <c r="D50" s="28"/>
      <c r="E50" s="1377" t="s">
        <v>6294</v>
      </c>
      <c r="F50" s="28"/>
      <c r="G50" s="28"/>
      <c r="H50" s="28"/>
      <c r="I50"/>
      <c r="J50"/>
    </row>
    <row r="51" spans="1:10" ht="12.75" customHeight="1" x14ac:dyDescent="0.35">
      <c r="A51" s="28"/>
      <c r="B51" s="28"/>
      <c r="C51" s="28" t="s">
        <v>2667</v>
      </c>
      <c r="D51" s="28"/>
      <c r="E51" s="1377" t="s">
        <v>6295</v>
      </c>
      <c r="F51" s="28"/>
      <c r="G51" s="28"/>
      <c r="H51" s="28"/>
      <c r="I51"/>
      <c r="J51"/>
    </row>
    <row r="52" spans="1:10" ht="12.75" customHeight="1" x14ac:dyDescent="0.35">
      <c r="A52" s="28"/>
      <c r="B52" s="28"/>
      <c r="C52" s="28"/>
      <c r="D52" s="28"/>
      <c r="E52" s="1377" t="s">
        <v>6296</v>
      </c>
      <c r="F52" s="28"/>
      <c r="G52" s="28"/>
      <c r="H52" s="28"/>
      <c r="I52"/>
      <c r="J52"/>
    </row>
    <row r="53" spans="1:10" ht="12.75" customHeight="1" x14ac:dyDescent="0.35">
      <c r="A53" s="28"/>
      <c r="B53" s="28"/>
      <c r="C53" s="28"/>
      <c r="D53" s="28"/>
      <c r="E53" s="1377" t="s">
        <v>6297</v>
      </c>
      <c r="F53" s="28"/>
      <c r="G53" s="28"/>
      <c r="H53" s="28"/>
      <c r="I53"/>
      <c r="J53"/>
    </row>
    <row r="54" spans="1:10" ht="12.75" customHeight="1" x14ac:dyDescent="0.35">
      <c r="A54" s="28"/>
      <c r="B54" s="28"/>
      <c r="D54" s="28"/>
      <c r="E54" s="28"/>
      <c r="F54" s="28"/>
      <c r="G54" s="28"/>
      <c r="H54" s="28"/>
      <c r="I54"/>
      <c r="J54"/>
    </row>
    <row r="55" spans="1:10" ht="12.75" customHeight="1" x14ac:dyDescent="0.35">
      <c r="A55" s="28"/>
      <c r="B55" s="28"/>
      <c r="D55" s="28"/>
      <c r="E55" s="28"/>
      <c r="F55" s="28"/>
      <c r="G55" s="28"/>
      <c r="H55" s="28"/>
      <c r="I55"/>
      <c r="J55"/>
    </row>
    <row r="56" spans="1:10" ht="12.75" customHeight="1" x14ac:dyDescent="0.35">
      <c r="A56" s="28"/>
      <c r="B56" s="28"/>
      <c r="C56" s="28" t="s">
        <v>2668</v>
      </c>
      <c r="D56" s="28"/>
      <c r="E56" s="28"/>
      <c r="F56" s="28"/>
      <c r="G56" s="28"/>
      <c r="H56" s="28"/>
      <c r="I56"/>
      <c r="J56"/>
    </row>
    <row r="57" spans="1:10" ht="12.75" customHeight="1" x14ac:dyDescent="0.35">
      <c r="A57" s="28"/>
      <c r="B57" s="28"/>
      <c r="C57" s="28"/>
      <c r="D57" s="28"/>
      <c r="E57" s="28"/>
      <c r="F57" s="28"/>
      <c r="G57" s="28"/>
      <c r="H57" s="28"/>
      <c r="I57"/>
      <c r="J57"/>
    </row>
    <row r="58" spans="1:10" ht="12.75" customHeight="1" x14ac:dyDescent="0.35">
      <c r="A58" s="28"/>
      <c r="B58" s="28"/>
      <c r="C58" s="28" t="s">
        <v>2669</v>
      </c>
      <c r="D58" s="28"/>
      <c r="E58" s="1377" t="s">
        <v>6298</v>
      </c>
      <c r="F58" s="28"/>
      <c r="G58" s="28"/>
      <c r="H58" s="28"/>
      <c r="I58"/>
      <c r="J58"/>
    </row>
    <row r="59" spans="1:10" ht="12.75" customHeight="1" x14ac:dyDescent="0.35">
      <c r="A59" s="28"/>
      <c r="B59" s="28"/>
      <c r="C59" s="28"/>
      <c r="D59" s="28"/>
      <c r="E59" s="1386" t="s">
        <v>45</v>
      </c>
      <c r="F59" s="28"/>
      <c r="G59" s="28"/>
      <c r="H59" s="28"/>
      <c r="I59"/>
      <c r="J59"/>
    </row>
    <row r="60" spans="1:10" ht="12.75" customHeight="1" x14ac:dyDescent="0.35">
      <c r="A60" s="28"/>
      <c r="B60" s="28"/>
      <c r="C60" s="28"/>
      <c r="D60" s="28"/>
      <c r="E60" s="1386" t="s">
        <v>45</v>
      </c>
      <c r="F60" s="28"/>
      <c r="G60" s="28"/>
      <c r="H60" s="28"/>
      <c r="I60"/>
      <c r="J60"/>
    </row>
    <row r="61" spans="1:10" ht="12.75" customHeight="1" x14ac:dyDescent="0.35">
      <c r="A61" s="28"/>
      <c r="B61" s="28"/>
      <c r="C61" s="28"/>
      <c r="D61" s="28"/>
      <c r="E61" s="28"/>
      <c r="F61" s="28"/>
      <c r="G61" s="28"/>
      <c r="H61" s="28"/>
      <c r="I61"/>
      <c r="J61"/>
    </row>
    <row r="62" spans="1:10" ht="12.75" customHeight="1" x14ac:dyDescent="0.35">
      <c r="A62" s="28"/>
      <c r="B62" s="28"/>
      <c r="C62" s="28"/>
      <c r="D62" s="28"/>
      <c r="E62" s="28"/>
      <c r="F62" s="28"/>
      <c r="G62" s="28"/>
      <c r="H62" s="28"/>
      <c r="I62"/>
      <c r="J62"/>
    </row>
    <row r="63" spans="1:10" ht="12.75" customHeight="1" x14ac:dyDescent="0.35">
      <c r="A63" s="28"/>
      <c r="B63" s="28"/>
      <c r="D63" s="28"/>
      <c r="E63" s="28"/>
      <c r="F63" s="28"/>
      <c r="G63" s="28"/>
      <c r="H63" s="28"/>
      <c r="I63"/>
      <c r="J63"/>
    </row>
    <row r="69" spans="3:3" x14ac:dyDescent="0.35">
      <c r="C69" s="28" t="s">
        <v>2670</v>
      </c>
    </row>
  </sheetData>
  <printOptions gridLines="1"/>
  <pageMargins left="0.75" right="0.75" top="1" bottom="1" header="0.5" footer="0.5"/>
  <pageSetup paperSize="9" orientation="portrait" r:id="rId1"/>
  <headerFooter>
    <oddHeader>&amp;C&amp;A</oddHeader>
    <oddFooter>&amp;CPage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autoPageBreaks="0"/>
  </sheetPr>
  <dimension ref="A1:J69"/>
  <sheetViews>
    <sheetView workbookViewId="0">
      <selection activeCell="E60" sqref="E60"/>
    </sheetView>
  </sheetViews>
  <sheetFormatPr defaultColWidth="9.1796875" defaultRowHeight="14.5" x14ac:dyDescent="0.35"/>
  <cols>
    <col min="1" max="1" width="2.1796875" style="97" customWidth="1"/>
    <col min="2" max="2" width="6" style="97" customWidth="1"/>
    <col min="3" max="4" width="5.7265625" style="97" customWidth="1"/>
    <col min="5" max="5" width="14.453125" style="97" customWidth="1"/>
    <col min="6" max="8" width="10.26953125" style="97" customWidth="1"/>
    <col min="9" max="10" width="5.7265625" style="97" customWidth="1"/>
    <col min="11" max="16384" width="9.1796875" style="97"/>
  </cols>
  <sheetData>
    <row r="1" spans="1:10" ht="12.75" customHeight="1" x14ac:dyDescent="0.35">
      <c r="A1" s="28"/>
      <c r="B1" s="28"/>
      <c r="C1" s="28"/>
      <c r="D1" s="28"/>
      <c r="E1" s="28"/>
      <c r="F1" s="28"/>
      <c r="G1" s="28"/>
      <c r="H1" s="28"/>
      <c r="I1"/>
      <c r="J1"/>
    </row>
    <row r="2" spans="1:10" ht="12.75" customHeight="1" x14ac:dyDescent="0.35">
      <c r="A2" s="28"/>
      <c r="B2" s="28"/>
      <c r="C2" s="28"/>
      <c r="D2" s="28"/>
      <c r="E2" s="28"/>
      <c r="F2" s="28"/>
      <c r="G2" s="28"/>
      <c r="H2" s="28"/>
      <c r="I2"/>
      <c r="J2"/>
    </row>
    <row r="3" spans="1:10" ht="12.75" customHeight="1" x14ac:dyDescent="0.35">
      <c r="A3" s="28"/>
      <c r="B3" s="28"/>
      <c r="C3" s="28" t="s">
        <v>2671</v>
      </c>
      <c r="D3" s="28"/>
      <c r="E3" s="28"/>
      <c r="F3" s="28"/>
      <c r="G3" s="28"/>
      <c r="H3" s="28"/>
      <c r="I3"/>
      <c r="J3"/>
    </row>
    <row r="4" spans="1:10" ht="12.75" customHeight="1" x14ac:dyDescent="0.35">
      <c r="A4" s="28"/>
      <c r="B4" s="28"/>
      <c r="C4" s="28"/>
      <c r="D4" s="28"/>
      <c r="E4" s="28"/>
      <c r="F4" s="28"/>
      <c r="G4" s="28"/>
      <c r="H4" s="28"/>
      <c r="I4"/>
      <c r="J4"/>
    </row>
    <row r="5" spans="1:10" ht="12.75" customHeight="1" x14ac:dyDescent="0.35">
      <c r="A5" s="28"/>
      <c r="B5" s="28" t="s">
        <v>2672</v>
      </c>
      <c r="C5" s="28" t="s">
        <v>2673</v>
      </c>
      <c r="D5" s="28"/>
      <c r="E5" s="28"/>
      <c r="F5" s="1377" t="s">
        <v>6306</v>
      </c>
      <c r="G5" s="28"/>
      <c r="H5" s="28"/>
      <c r="I5"/>
      <c r="J5"/>
    </row>
    <row r="6" spans="1:10" ht="12.75" customHeight="1" x14ac:dyDescent="0.35">
      <c r="A6" s="28"/>
      <c r="B6" s="28"/>
      <c r="C6" s="28"/>
      <c r="D6" s="28"/>
      <c r="E6" s="28"/>
      <c r="F6" s="28"/>
      <c r="G6" s="28"/>
      <c r="H6" s="28"/>
      <c r="I6"/>
      <c r="J6"/>
    </row>
    <row r="7" spans="1:10" ht="12.75" customHeight="1" x14ac:dyDescent="0.35">
      <c r="A7" s="28"/>
      <c r="B7" s="28" t="s">
        <v>2674</v>
      </c>
      <c r="C7" s="28" t="s">
        <v>2675</v>
      </c>
      <c r="D7" s="28"/>
      <c r="E7" s="28"/>
      <c r="F7" s="28"/>
      <c r="G7" s="28"/>
      <c r="H7" s="28" t="s">
        <v>2676</v>
      </c>
      <c r="I7"/>
      <c r="J7"/>
    </row>
    <row r="8" spans="1:10" ht="12.75" customHeight="1" x14ac:dyDescent="0.35">
      <c r="A8" s="28"/>
      <c r="B8" s="28"/>
      <c r="C8" s="28" t="s">
        <v>2677</v>
      </c>
      <c r="D8" s="28"/>
      <c r="E8" s="28"/>
      <c r="F8" s="28"/>
      <c r="G8" s="28"/>
      <c r="H8" s="28"/>
      <c r="I8"/>
      <c r="J8"/>
    </row>
    <row r="9" spans="1:10" ht="12.75" customHeight="1" x14ac:dyDescent="0.35">
      <c r="A9" s="28"/>
      <c r="B9" s="28" t="s">
        <v>2672</v>
      </c>
      <c r="C9" s="28" t="s">
        <v>2678</v>
      </c>
      <c r="D9" s="28"/>
      <c r="E9" s="28"/>
      <c r="F9" s="28"/>
      <c r="G9" s="28"/>
      <c r="H9" s="28"/>
      <c r="I9"/>
      <c r="J9"/>
    </row>
    <row r="10" spans="1:10" ht="12.75" customHeight="1" x14ac:dyDescent="0.35">
      <c r="A10" s="28"/>
      <c r="B10" s="28" t="s">
        <v>2679</v>
      </c>
      <c r="C10" s="103" t="s">
        <v>2680</v>
      </c>
      <c r="D10" s="28"/>
      <c r="E10" s="28"/>
      <c r="F10" s="28"/>
      <c r="G10" s="28"/>
      <c r="H10" s="28"/>
      <c r="I10"/>
      <c r="J10"/>
    </row>
    <row r="11" spans="1:10" ht="12.75" customHeight="1" x14ac:dyDescent="0.35">
      <c r="A11" s="28"/>
      <c r="B11" s="28"/>
      <c r="C11" s="28"/>
      <c r="D11" s="28"/>
      <c r="E11" s="28"/>
      <c r="F11" s="28"/>
      <c r="G11" s="28"/>
      <c r="H11" s="28"/>
      <c r="I11"/>
      <c r="J11"/>
    </row>
    <row r="12" spans="1:10" ht="12.75" customHeight="1" x14ac:dyDescent="0.35">
      <c r="A12" s="28"/>
      <c r="B12" s="28"/>
      <c r="C12" s="28" t="s">
        <v>2681</v>
      </c>
      <c r="D12" s="28"/>
      <c r="E12" s="28"/>
      <c r="F12" s="28"/>
      <c r="G12" s="28"/>
      <c r="H12" s="28"/>
      <c r="I12"/>
      <c r="J12"/>
    </row>
    <row r="13" spans="1:10" ht="12.75" customHeight="1" x14ac:dyDescent="0.35">
      <c r="A13" s="28"/>
      <c r="B13" s="28"/>
      <c r="C13" s="28" t="s">
        <v>2682</v>
      </c>
      <c r="D13" s="28"/>
      <c r="E13" s="28"/>
      <c r="F13" s="28"/>
      <c r="G13" s="28"/>
      <c r="H13" s="28"/>
      <c r="I13"/>
      <c r="J13"/>
    </row>
    <row r="14" spans="1:10" ht="12.75" customHeight="1" x14ac:dyDescent="0.35">
      <c r="A14" s="28"/>
      <c r="B14" s="28"/>
      <c r="C14" s="28"/>
      <c r="D14" s="28"/>
      <c r="E14" s="28"/>
      <c r="F14" s="28"/>
      <c r="G14" s="28"/>
      <c r="H14" s="28"/>
      <c r="I14"/>
      <c r="J14"/>
    </row>
    <row r="15" spans="1:10" ht="12.75" customHeight="1" x14ac:dyDescent="0.35">
      <c r="A15" s="28"/>
      <c r="B15" s="28"/>
      <c r="C15" s="28"/>
      <c r="D15" s="28"/>
      <c r="E15" s="28"/>
      <c r="F15" s="28" t="s">
        <v>2683</v>
      </c>
      <c r="G15" s="28"/>
      <c r="H15" s="28"/>
      <c r="I15"/>
      <c r="J15"/>
    </row>
    <row r="16" spans="1:10" ht="12.75" customHeight="1" x14ac:dyDescent="0.35">
      <c r="A16" s="38">
        <v>3</v>
      </c>
      <c r="B16" s="28"/>
      <c r="C16" s="28" t="s">
        <v>2684</v>
      </c>
      <c r="D16" s="28"/>
      <c r="E16" s="28"/>
      <c r="F16" s="28"/>
      <c r="G16" s="28" t="str">
        <f>IF(BeginEnd=0,"(i början av perioden)","(i slutet av perioden)")</f>
        <v>(i början av perioden)</v>
      </c>
      <c r="H16" s="28"/>
      <c r="I16"/>
      <c r="J16"/>
    </row>
    <row r="17" spans="1:10" ht="12.75" customHeight="1" x14ac:dyDescent="0.35">
      <c r="A17" s="28"/>
      <c r="B17" s="28"/>
      <c r="C17" s="28" t="s">
        <v>2685</v>
      </c>
      <c r="D17" s="28"/>
      <c r="E17" s="28"/>
      <c r="F17" s="28"/>
      <c r="G17" s="28" t="str">
        <f>IF(CalcPoint=0,"(i början av perioden)","(i slutet av perioden)")</f>
        <v>(i början av perioden)</v>
      </c>
      <c r="H17" s="28"/>
      <c r="I17"/>
      <c r="J17"/>
    </row>
    <row r="18" spans="1:10" ht="12.75" customHeight="1" x14ac:dyDescent="0.35">
      <c r="A18" s="28"/>
      <c r="B18" s="28"/>
      <c r="C18" s="28" t="s">
        <v>2686</v>
      </c>
      <c r="D18" s="28"/>
      <c r="E18" s="28"/>
      <c r="F18" s="28"/>
      <c r="G18" s="28" t="s">
        <v>2687</v>
      </c>
      <c r="H18" s="28"/>
      <c r="I18"/>
      <c r="J18"/>
    </row>
    <row r="19" spans="1:10" ht="12.75" customHeight="1" x14ac:dyDescent="0.35">
      <c r="A19" s="28"/>
      <c r="B19" s="28"/>
      <c r="C19" s="28"/>
      <c r="D19" s="28"/>
      <c r="E19" s="28"/>
      <c r="F19" s="28"/>
      <c r="G19" s="28"/>
      <c r="H19" s="28"/>
      <c r="I19"/>
      <c r="J19"/>
    </row>
    <row r="20" spans="1:10" ht="12.75" customHeight="1" x14ac:dyDescent="0.35">
      <c r="A20" s="28"/>
      <c r="B20" s="28"/>
      <c r="C20" s="28" t="s">
        <v>2688</v>
      </c>
      <c r="D20" s="28"/>
      <c r="E20" s="28"/>
      <c r="F20" s="28"/>
      <c r="G20" s="28"/>
      <c r="H20" s="28"/>
      <c r="I20"/>
      <c r="J20"/>
    </row>
    <row r="21" spans="1:10" ht="12.75" customHeight="1" x14ac:dyDescent="0.35">
      <c r="A21" s="28"/>
      <c r="B21" s="28"/>
      <c r="C21" s="28" t="s">
        <v>2689</v>
      </c>
      <c r="D21" s="28"/>
      <c r="E21" s="28"/>
      <c r="F21" s="28"/>
      <c r="G21" s="28"/>
      <c r="H21" s="28"/>
      <c r="I21"/>
      <c r="J21"/>
    </row>
    <row r="22" spans="1:10" ht="12.75" customHeight="1" x14ac:dyDescent="0.35">
      <c r="A22" s="28"/>
      <c r="B22" s="28"/>
      <c r="C22" s="28"/>
      <c r="D22" s="28"/>
      <c r="E22" s="28"/>
      <c r="F22" s="28"/>
      <c r="G22" s="28"/>
      <c r="H22" s="28"/>
      <c r="I22"/>
      <c r="J22"/>
    </row>
    <row r="23" spans="1:10" ht="12.75" customHeight="1" x14ac:dyDescent="0.35">
      <c r="A23" s="28"/>
      <c r="B23" s="28"/>
      <c r="C23" s="28" t="s">
        <v>2690</v>
      </c>
      <c r="D23" s="28"/>
      <c r="E23" s="28"/>
      <c r="F23" s="28"/>
      <c r="G23" s="28" t="str">
        <f>IF(J23="","%  ( = avkastningskrav på kapital )","%")</f>
        <v>%  ( = avkastningskrav på kapital )</v>
      </c>
      <c r="H23" s="28"/>
      <c r="I23"/>
      <c r="J23"/>
    </row>
    <row r="24" spans="1:10" ht="12.75" customHeight="1" x14ac:dyDescent="0.35">
      <c r="A24" s="28"/>
      <c r="B24" s="28" t="s">
        <v>2691</v>
      </c>
      <c r="C24" s="28" t="s">
        <v>2692</v>
      </c>
      <c r="D24" s="28"/>
      <c r="E24" s="28"/>
      <c r="F24" s="28"/>
      <c r="G24" s="28"/>
      <c r="H24" s="28"/>
      <c r="I24"/>
      <c r="J24"/>
    </row>
    <row r="25" spans="1:10" ht="12.75" customHeight="1" x14ac:dyDescent="0.35">
      <c r="A25" s="28"/>
      <c r="B25" s="28"/>
      <c r="C25" s="28"/>
      <c r="D25" s="28"/>
      <c r="E25" s="28"/>
      <c r="F25" s="28"/>
      <c r="G25" s="28"/>
      <c r="H25" s="28"/>
      <c r="I25"/>
      <c r="J25"/>
    </row>
    <row r="26" spans="1:10" ht="12.75" customHeight="1" x14ac:dyDescent="0.35">
      <c r="A26" s="28"/>
      <c r="B26" s="28"/>
      <c r="C26" s="28" t="s">
        <v>2693</v>
      </c>
      <c r="D26" s="28"/>
      <c r="E26" s="28"/>
      <c r="F26" s="28"/>
      <c r="G26" s="28"/>
      <c r="H26" s="28"/>
      <c r="I26"/>
      <c r="J26"/>
    </row>
    <row r="27" spans="1:10" ht="12.75" customHeight="1" x14ac:dyDescent="0.35">
      <c r="A27" s="28"/>
      <c r="B27" s="28"/>
      <c r="C27" s="28" t="s">
        <v>2692</v>
      </c>
      <c r="D27" s="28"/>
      <c r="E27" s="28"/>
      <c r="F27" s="28"/>
      <c r="G27" s="28"/>
      <c r="H27" s="28"/>
      <c r="I27"/>
      <c r="J27"/>
    </row>
    <row r="28" spans="1:10" ht="12.75" customHeight="1" x14ac:dyDescent="0.35">
      <c r="A28" s="28"/>
      <c r="B28" s="28"/>
      <c r="C28" s="28"/>
      <c r="D28" s="28"/>
      <c r="E28" s="28"/>
      <c r="F28" s="28"/>
      <c r="G28" s="28"/>
      <c r="H28" s="28"/>
      <c r="I28"/>
      <c r="J28"/>
    </row>
    <row r="29" spans="1:10" ht="12.75" customHeight="1" x14ac:dyDescent="0.35">
      <c r="A29" s="28"/>
      <c r="B29" s="28"/>
      <c r="C29" s="28"/>
      <c r="D29" s="28"/>
      <c r="E29" s="28"/>
      <c r="F29" s="28"/>
      <c r="G29" s="28"/>
      <c r="H29" s="28"/>
      <c r="I29"/>
      <c r="J29"/>
    </row>
    <row r="30" spans="1:10" ht="12.75" customHeight="1" x14ac:dyDescent="0.35">
      <c r="A30" s="28"/>
      <c r="B30" s="28"/>
      <c r="C30" s="28" t="s">
        <v>2694</v>
      </c>
      <c r="D30" s="28"/>
      <c r="E30" s="28"/>
      <c r="F30" s="28"/>
      <c r="G30" s="28"/>
      <c r="H30" s="28"/>
      <c r="I30"/>
      <c r="J30"/>
    </row>
    <row r="31" spans="1:10" ht="12.75" customHeight="1" x14ac:dyDescent="0.35">
      <c r="A31" s="28"/>
      <c r="B31" s="28"/>
      <c r="C31" s="28"/>
      <c r="D31" s="28"/>
      <c r="E31" s="28"/>
      <c r="F31" s="28"/>
      <c r="G31" s="28"/>
      <c r="H31" s="28"/>
      <c r="I31"/>
      <c r="J31"/>
    </row>
    <row r="32" spans="1:10" ht="12.75" customHeight="1" x14ac:dyDescent="0.35">
      <c r="A32" s="28"/>
      <c r="B32" s="28"/>
      <c r="C32" s="28"/>
      <c r="D32" s="28"/>
      <c r="E32" s="28"/>
      <c r="F32" s="28"/>
      <c r="G32" s="28"/>
      <c r="H32" s="28"/>
      <c r="I32"/>
      <c r="J32"/>
    </row>
    <row r="33" spans="1:10" ht="12.75" customHeight="1" x14ac:dyDescent="0.35">
      <c r="A33" s="28"/>
      <c r="B33" s="28"/>
      <c r="C33" s="28"/>
      <c r="D33" s="28"/>
      <c r="E33" s="28"/>
      <c r="F33" s="28"/>
      <c r="G33" s="28"/>
      <c r="H33" s="28"/>
      <c r="I33"/>
      <c r="J33"/>
    </row>
    <row r="34" spans="1:10" ht="12.75" customHeight="1" x14ac:dyDescent="0.35">
      <c r="A34" s="28"/>
      <c r="B34" s="28"/>
      <c r="C34" s="28"/>
      <c r="D34" s="28"/>
      <c r="E34" s="28"/>
      <c r="F34" s="28"/>
      <c r="G34" s="28"/>
      <c r="H34" s="28"/>
      <c r="I34"/>
      <c r="J34"/>
    </row>
    <row r="35" spans="1:10" ht="12.75" customHeight="1" x14ac:dyDescent="0.35">
      <c r="A35" s="28"/>
      <c r="B35" s="28"/>
      <c r="C35" s="28"/>
      <c r="D35" s="28"/>
      <c r="E35" s="28"/>
      <c r="F35" s="28"/>
      <c r="G35" s="28"/>
      <c r="H35" s="28"/>
      <c r="I35"/>
      <c r="J35"/>
    </row>
    <row r="36" spans="1:10" ht="12.75" customHeight="1" x14ac:dyDescent="0.35">
      <c r="A36" s="28"/>
      <c r="B36" s="28"/>
      <c r="C36" s="28"/>
      <c r="D36" s="28"/>
      <c r="E36" s="28"/>
      <c r="F36" s="28"/>
      <c r="G36" s="28"/>
      <c r="H36" s="28"/>
      <c r="I36"/>
      <c r="J36"/>
    </row>
    <row r="37" spans="1:10" ht="12.75" customHeight="1" x14ac:dyDescent="0.35">
      <c r="A37" s="28"/>
      <c r="B37" s="28"/>
      <c r="C37" s="28"/>
      <c r="D37" s="28"/>
      <c r="E37" s="28"/>
      <c r="F37" s="28"/>
      <c r="G37" s="28"/>
      <c r="H37" s="28"/>
      <c r="I37"/>
      <c r="J37"/>
    </row>
    <row r="38" spans="1:10" ht="12.75" customHeight="1" x14ac:dyDescent="0.35">
      <c r="A38" s="28"/>
      <c r="B38" s="28"/>
      <c r="C38" s="28"/>
      <c r="D38" s="28"/>
      <c r="E38" s="28"/>
      <c r="F38" s="28"/>
      <c r="G38" s="28"/>
      <c r="H38" s="28"/>
      <c r="I38"/>
      <c r="J38"/>
    </row>
    <row r="39" spans="1:10" ht="12.75" customHeight="1" x14ac:dyDescent="0.35">
      <c r="A39" s="28"/>
      <c r="B39" s="28"/>
      <c r="C39" s="28"/>
      <c r="D39" s="28"/>
      <c r="E39" s="28"/>
      <c r="F39" s="28"/>
      <c r="G39" s="28"/>
      <c r="H39" s="28"/>
      <c r="I39"/>
      <c r="J39"/>
    </row>
    <row r="40" spans="1:10" ht="12.75" customHeight="1" x14ac:dyDescent="0.35">
      <c r="A40" s="28"/>
      <c r="B40" s="28"/>
      <c r="C40" s="28"/>
      <c r="D40" s="28"/>
      <c r="E40" s="28"/>
      <c r="F40" s="28"/>
      <c r="G40" s="28"/>
      <c r="H40" s="28"/>
      <c r="I40"/>
      <c r="J40"/>
    </row>
    <row r="41" spans="1:10" ht="12.75" customHeight="1" x14ac:dyDescent="0.35">
      <c r="A41" s="28"/>
      <c r="B41" s="28"/>
      <c r="C41" s="28"/>
      <c r="D41" s="28"/>
      <c r="E41" s="28"/>
      <c r="F41" s="28"/>
      <c r="G41" s="28"/>
      <c r="H41" s="28"/>
      <c r="I41"/>
      <c r="J41"/>
    </row>
    <row r="42" spans="1:10" ht="12.75" customHeight="1" x14ac:dyDescent="0.35">
      <c r="A42" s="28"/>
      <c r="B42" s="28"/>
      <c r="C42" s="28"/>
      <c r="D42" s="28"/>
      <c r="E42" s="28"/>
      <c r="F42" s="28"/>
      <c r="G42" s="28"/>
      <c r="H42" s="28"/>
      <c r="I42"/>
      <c r="J42"/>
    </row>
    <row r="43" spans="1:10" ht="12.75" customHeight="1" x14ac:dyDescent="0.35">
      <c r="A43" s="28"/>
      <c r="B43" s="28"/>
      <c r="C43" s="28"/>
      <c r="D43" s="28"/>
      <c r="E43" s="28"/>
      <c r="F43" s="28"/>
      <c r="G43" s="28"/>
      <c r="H43" s="28"/>
      <c r="I43"/>
      <c r="J43"/>
    </row>
    <row r="44" spans="1:10" ht="12.75" customHeight="1" x14ac:dyDescent="0.35">
      <c r="A44" s="28"/>
      <c r="B44" s="28"/>
      <c r="C44" s="28"/>
      <c r="D44" s="28"/>
      <c r="E44" s="28"/>
      <c r="F44" s="28"/>
      <c r="G44" s="28"/>
      <c r="H44" s="28"/>
      <c r="I44"/>
      <c r="J44"/>
    </row>
    <row r="45" spans="1:10" ht="12.75" customHeight="1" x14ac:dyDescent="0.35">
      <c r="A45" s="28"/>
      <c r="B45" s="28"/>
      <c r="C45" s="28" t="s">
        <v>2695</v>
      </c>
      <c r="D45" s="28"/>
      <c r="E45" s="28"/>
      <c r="F45" s="28"/>
      <c r="G45" s="28"/>
      <c r="H45" s="28"/>
      <c r="I45"/>
      <c r="J45"/>
    </row>
    <row r="46" spans="1:10" ht="12.75" customHeight="1" x14ac:dyDescent="0.35">
      <c r="A46" s="28"/>
      <c r="B46" s="28"/>
      <c r="C46" s="28"/>
      <c r="D46" s="28"/>
      <c r="E46" s="28"/>
      <c r="F46" s="28"/>
      <c r="G46" s="28"/>
      <c r="H46" s="28"/>
      <c r="I46"/>
      <c r="J46"/>
    </row>
    <row r="47" spans="1:10" ht="12.75" customHeight="1" x14ac:dyDescent="0.35">
      <c r="A47" s="28"/>
      <c r="B47" s="28"/>
      <c r="C47" s="28" t="s">
        <v>2673</v>
      </c>
      <c r="D47" s="28"/>
      <c r="E47" s="28"/>
      <c r="F47" s="28"/>
      <c r="G47" s="28"/>
      <c r="H47"/>
      <c r="I47"/>
      <c r="J47" s="28" t="str">
        <f>"Uppföljningstid: "&amp;FIXED((InvTime+InvTimeMonths/12+InvTime2+InvTimeMonths2/12),1)&amp;" år."</f>
        <v>Uppföljningstid: 5.3 år.</v>
      </c>
    </row>
    <row r="48" spans="1:10" ht="12.75" customHeight="1" x14ac:dyDescent="0.35">
      <c r="A48" s="28"/>
      <c r="B48" s="28"/>
      <c r="C48" s="28"/>
      <c r="D48" s="28"/>
      <c r="E48" s="28"/>
      <c r="F48" s="28"/>
      <c r="G48" s="28"/>
      <c r="H48" s="28"/>
      <c r="I48"/>
      <c r="J48"/>
    </row>
    <row r="49" spans="1:10" ht="12.75" customHeight="1" x14ac:dyDescent="0.35">
      <c r="A49" s="28"/>
      <c r="B49" s="28"/>
      <c r="C49" s="28"/>
      <c r="D49" s="28"/>
      <c r="E49" s="28"/>
      <c r="F49" s="28"/>
      <c r="G49" s="28"/>
      <c r="H49" s="28"/>
      <c r="I49"/>
      <c r="J49"/>
    </row>
    <row r="50" spans="1:10" ht="12.75" customHeight="1" x14ac:dyDescent="0.35">
      <c r="A50" s="28"/>
      <c r="B50" s="28"/>
      <c r="C50" s="28" t="s">
        <v>2696</v>
      </c>
      <c r="D50" s="28"/>
      <c r="E50" s="1377" t="s">
        <v>6307</v>
      </c>
      <c r="F50" s="28"/>
      <c r="G50" s="28"/>
      <c r="H50" s="28"/>
      <c r="I50"/>
      <c r="J50"/>
    </row>
    <row r="51" spans="1:10" ht="12.75" customHeight="1" x14ac:dyDescent="0.35">
      <c r="A51" s="28"/>
      <c r="B51" s="28"/>
      <c r="C51" s="28" t="s">
        <v>2697</v>
      </c>
      <c r="D51" s="28"/>
      <c r="E51" s="1377" t="s">
        <v>6308</v>
      </c>
      <c r="F51" s="28"/>
      <c r="G51" s="28"/>
      <c r="H51" s="28"/>
      <c r="I51"/>
      <c r="J51"/>
    </row>
    <row r="52" spans="1:10" ht="12.75" customHeight="1" x14ac:dyDescent="0.35">
      <c r="A52" s="28"/>
      <c r="B52" s="28"/>
      <c r="C52" s="28"/>
      <c r="D52" s="28"/>
      <c r="E52" s="1377" t="s">
        <v>6229</v>
      </c>
      <c r="F52" s="28"/>
      <c r="G52" s="28"/>
      <c r="H52" s="28"/>
      <c r="I52"/>
      <c r="J52"/>
    </row>
    <row r="53" spans="1:10" ht="12.75" customHeight="1" x14ac:dyDescent="0.35">
      <c r="A53" s="28"/>
      <c r="B53" s="28"/>
      <c r="C53" s="28"/>
      <c r="D53" s="28"/>
      <c r="E53" s="1377" t="s">
        <v>6309</v>
      </c>
      <c r="F53" s="28"/>
      <c r="G53" s="28"/>
      <c r="H53" s="28"/>
      <c r="I53"/>
      <c r="J53"/>
    </row>
    <row r="54" spans="1:10" ht="12.75" customHeight="1" x14ac:dyDescent="0.35">
      <c r="A54" s="28"/>
      <c r="B54" s="28"/>
      <c r="D54" s="28"/>
      <c r="E54" s="28"/>
      <c r="F54" s="28"/>
      <c r="G54" s="28"/>
      <c r="H54" s="28"/>
      <c r="I54"/>
      <c r="J54"/>
    </row>
    <row r="55" spans="1:10" ht="12.75" customHeight="1" x14ac:dyDescent="0.35">
      <c r="A55" s="28"/>
      <c r="B55" s="28"/>
      <c r="D55" s="28"/>
      <c r="E55" s="28"/>
      <c r="F55" s="28"/>
      <c r="G55" s="28"/>
      <c r="H55" s="28"/>
      <c r="I55"/>
      <c r="J55"/>
    </row>
    <row r="56" spans="1:10" ht="12.75" customHeight="1" x14ac:dyDescent="0.35">
      <c r="A56" s="28"/>
      <c r="B56" s="28"/>
      <c r="C56" s="28" t="s">
        <v>2698</v>
      </c>
      <c r="D56" s="28"/>
      <c r="E56" s="28"/>
      <c r="F56" s="28"/>
      <c r="G56" s="28"/>
      <c r="H56" s="28"/>
      <c r="I56"/>
      <c r="J56"/>
    </row>
    <row r="57" spans="1:10" ht="12.75" customHeight="1" x14ac:dyDescent="0.35">
      <c r="A57" s="28"/>
      <c r="B57" s="28"/>
      <c r="C57" s="28"/>
      <c r="D57" s="28"/>
      <c r="E57" s="28"/>
      <c r="F57" s="28"/>
      <c r="G57" s="28"/>
      <c r="H57" s="28"/>
      <c r="I57"/>
      <c r="J57"/>
    </row>
    <row r="58" spans="1:10" ht="12.75" customHeight="1" x14ac:dyDescent="0.35">
      <c r="A58" s="28"/>
      <c r="B58" s="28"/>
      <c r="C58" s="28" t="s">
        <v>2699</v>
      </c>
      <c r="D58" s="28"/>
      <c r="E58" s="1377" t="s">
        <v>6310</v>
      </c>
      <c r="F58" s="28"/>
      <c r="G58" s="28"/>
      <c r="H58" s="28"/>
      <c r="I58"/>
      <c r="J58"/>
    </row>
    <row r="59" spans="1:10" ht="12.75" customHeight="1" x14ac:dyDescent="0.35">
      <c r="A59" s="28"/>
      <c r="B59" s="28"/>
      <c r="C59" s="28"/>
      <c r="D59" s="28"/>
      <c r="E59" s="1386" t="s">
        <v>45</v>
      </c>
      <c r="F59" s="28"/>
      <c r="G59" s="28"/>
      <c r="H59" s="28"/>
      <c r="I59"/>
      <c r="J59"/>
    </row>
    <row r="60" spans="1:10" ht="12.75" customHeight="1" x14ac:dyDescent="0.35">
      <c r="A60" s="28"/>
      <c r="B60" s="28"/>
      <c r="C60" s="28"/>
      <c r="D60" s="28"/>
      <c r="E60" s="1386" t="s">
        <v>45</v>
      </c>
      <c r="F60" s="28"/>
      <c r="G60" s="28"/>
      <c r="H60" s="28"/>
      <c r="I60"/>
      <c r="J60"/>
    </row>
    <row r="61" spans="1:10" ht="12.75" customHeight="1" x14ac:dyDescent="0.35">
      <c r="A61" s="28"/>
      <c r="B61" s="28"/>
      <c r="C61" s="28"/>
      <c r="D61" s="28"/>
      <c r="E61" s="28"/>
      <c r="F61" s="28"/>
      <c r="G61" s="28"/>
      <c r="H61" s="28"/>
      <c r="I61"/>
      <c r="J61"/>
    </row>
    <row r="62" spans="1:10" ht="12.75" customHeight="1" x14ac:dyDescent="0.35">
      <c r="A62" s="28"/>
      <c r="B62" s="28"/>
      <c r="C62" s="28"/>
      <c r="D62" s="28"/>
      <c r="E62" s="28"/>
      <c r="F62" s="28"/>
      <c r="G62" s="28"/>
      <c r="H62" s="28"/>
      <c r="I62"/>
      <c r="J62"/>
    </row>
    <row r="63" spans="1:10" ht="12.75" customHeight="1" x14ac:dyDescent="0.35">
      <c r="A63" s="28"/>
      <c r="B63" s="28"/>
      <c r="D63" s="28"/>
      <c r="E63" s="28"/>
      <c r="F63" s="28"/>
      <c r="G63" s="28"/>
      <c r="H63" s="28"/>
      <c r="I63"/>
      <c r="J63"/>
    </row>
    <row r="69" spans="3:3" x14ac:dyDescent="0.35">
      <c r="C69" s="28" t="s">
        <v>2700</v>
      </c>
    </row>
  </sheetData>
  <printOptions gridLines="1"/>
  <pageMargins left="0.75" right="0.75" top="1" bottom="1" header="0.5" footer="0.5"/>
  <pageSetup paperSize="9" orientation="portrait" r:id="rId1"/>
  <headerFooter>
    <oddHeader>&amp;C&amp;A</oddHeader>
    <oddFooter>&amp;CPage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autoPageBreaks="0"/>
  </sheetPr>
  <dimension ref="A1:J69"/>
  <sheetViews>
    <sheetView workbookViewId="0">
      <selection activeCell="E59" sqref="E59"/>
    </sheetView>
  </sheetViews>
  <sheetFormatPr defaultColWidth="9.1796875" defaultRowHeight="14.5" x14ac:dyDescent="0.35"/>
  <cols>
    <col min="1" max="1" width="2.1796875" style="97" customWidth="1"/>
    <col min="2" max="2" width="6" style="97" customWidth="1"/>
    <col min="3" max="4" width="5.7265625" style="97" customWidth="1"/>
    <col min="5" max="5" width="15.1796875" style="97" customWidth="1"/>
    <col min="6" max="8" width="9.81640625" style="97" customWidth="1"/>
    <col min="9" max="10" width="5.7265625" style="97" customWidth="1"/>
    <col min="11" max="16384" width="9.1796875" style="97"/>
  </cols>
  <sheetData>
    <row r="1" spans="1:8" ht="12.75" customHeight="1" x14ac:dyDescent="0.35">
      <c r="A1" s="28"/>
      <c r="B1" s="28"/>
      <c r="C1" s="28"/>
      <c r="D1" s="28"/>
      <c r="E1" s="28"/>
      <c r="F1" s="28"/>
      <c r="G1" s="28"/>
      <c r="H1" s="28"/>
    </row>
    <row r="2" spans="1:8" ht="12.75" customHeight="1" x14ac:dyDescent="0.35">
      <c r="A2" s="28"/>
      <c r="B2" s="28"/>
      <c r="C2" s="28"/>
      <c r="D2" s="28"/>
      <c r="E2" s="28"/>
      <c r="F2" s="28"/>
      <c r="G2" s="28"/>
      <c r="H2" s="28"/>
    </row>
    <row r="3" spans="1:8" ht="12.75" customHeight="1" x14ac:dyDescent="0.35">
      <c r="A3" s="28"/>
      <c r="B3" s="28"/>
      <c r="C3" s="28" t="s">
        <v>2701</v>
      </c>
      <c r="D3" s="28"/>
      <c r="E3" s="28"/>
      <c r="F3" s="28"/>
      <c r="G3" s="28"/>
      <c r="H3" s="28"/>
    </row>
    <row r="4" spans="1:8" ht="12.75" customHeight="1" x14ac:dyDescent="0.35">
      <c r="A4" s="28"/>
      <c r="B4" s="28"/>
      <c r="C4" s="28"/>
      <c r="D4" s="28"/>
      <c r="E4" s="28"/>
      <c r="F4" s="28"/>
      <c r="G4" s="28"/>
      <c r="H4" s="28"/>
    </row>
    <row r="5" spans="1:8" ht="12.75" customHeight="1" x14ac:dyDescent="0.35">
      <c r="A5" s="28"/>
      <c r="B5" s="28" t="s">
        <v>2702</v>
      </c>
      <c r="C5" s="28" t="s">
        <v>5098</v>
      </c>
      <c r="D5" s="28"/>
      <c r="E5" s="28"/>
      <c r="F5" s="1377" t="s">
        <v>6318</v>
      </c>
      <c r="G5" s="28"/>
      <c r="H5" s="28"/>
    </row>
    <row r="6" spans="1:8" ht="12.75" customHeight="1" x14ac:dyDescent="0.35">
      <c r="A6" s="28"/>
      <c r="B6" s="28"/>
      <c r="C6" s="28"/>
      <c r="D6" s="28"/>
      <c r="E6" s="28"/>
      <c r="F6" s="28"/>
      <c r="G6" s="28"/>
      <c r="H6" s="28"/>
    </row>
    <row r="7" spans="1:8" ht="12.75" customHeight="1" x14ac:dyDescent="0.35">
      <c r="A7" s="28"/>
      <c r="B7" s="28" t="s">
        <v>2704</v>
      </c>
      <c r="C7" s="194" t="s">
        <v>5537</v>
      </c>
      <c r="D7" s="28"/>
      <c r="E7" s="28"/>
      <c r="F7" s="28"/>
      <c r="G7" s="28"/>
      <c r="H7" s="28" t="s">
        <v>2705</v>
      </c>
    </row>
    <row r="8" spans="1:8" ht="12.75" customHeight="1" x14ac:dyDescent="0.35">
      <c r="A8" s="28"/>
      <c r="B8" s="28"/>
      <c r="C8" s="28" t="s">
        <v>2706</v>
      </c>
      <c r="D8" s="28"/>
      <c r="E8" s="28"/>
      <c r="F8" s="28"/>
      <c r="G8" s="28"/>
      <c r="H8" s="28"/>
    </row>
    <row r="9" spans="1:8" ht="12.75" customHeight="1" x14ac:dyDescent="0.35">
      <c r="A9" s="28"/>
      <c r="B9" s="28" t="s">
        <v>2707</v>
      </c>
      <c r="C9" s="28" t="s">
        <v>2708</v>
      </c>
      <c r="D9" s="28"/>
      <c r="E9" s="28"/>
      <c r="F9" s="28"/>
      <c r="G9" s="28"/>
      <c r="H9" s="28"/>
    </row>
    <row r="10" spans="1:8" ht="12.75" customHeight="1" x14ac:dyDescent="0.35">
      <c r="A10" s="28"/>
      <c r="B10" s="28" t="s">
        <v>2709</v>
      </c>
      <c r="C10" s="103" t="s">
        <v>2710</v>
      </c>
      <c r="D10" s="28"/>
      <c r="E10" s="28"/>
      <c r="F10" s="28"/>
      <c r="G10" s="28"/>
      <c r="H10" s="28"/>
    </row>
    <row r="11" spans="1:8" ht="12.75" customHeight="1" x14ac:dyDescent="0.35">
      <c r="A11" s="28"/>
      <c r="B11" s="28"/>
      <c r="C11" s="28"/>
      <c r="D11" s="28"/>
      <c r="E11" s="28"/>
      <c r="F11" s="28"/>
      <c r="G11" s="28"/>
      <c r="H11" s="28"/>
    </row>
    <row r="12" spans="1:8" ht="12.75" customHeight="1" x14ac:dyDescent="0.35">
      <c r="A12" s="28"/>
      <c r="B12" s="28"/>
      <c r="C12" s="28" t="s">
        <v>2711</v>
      </c>
      <c r="D12" s="28"/>
      <c r="E12" s="28"/>
      <c r="F12" s="28"/>
      <c r="G12" s="28"/>
      <c r="H12" s="28"/>
    </row>
    <row r="13" spans="1:8" ht="12.75" customHeight="1" x14ac:dyDescent="0.35">
      <c r="A13" s="28"/>
      <c r="B13" s="28"/>
      <c r="C13" s="28" t="s">
        <v>2712</v>
      </c>
      <c r="D13" s="28"/>
      <c r="E13" s="28"/>
      <c r="F13" s="28"/>
      <c r="G13" s="28"/>
      <c r="H13" s="28"/>
    </row>
    <row r="14" spans="1:8" ht="12.75" customHeight="1" x14ac:dyDescent="0.35">
      <c r="A14" s="28"/>
      <c r="B14" s="28"/>
      <c r="C14" s="28"/>
      <c r="D14" s="28"/>
      <c r="E14" s="28"/>
      <c r="F14" s="28"/>
      <c r="G14" s="28"/>
      <c r="H14" s="28"/>
    </row>
    <row r="15" spans="1:8" ht="12.75" customHeight="1" x14ac:dyDescent="0.35">
      <c r="A15" s="28"/>
      <c r="B15" s="28"/>
      <c r="C15" s="28"/>
      <c r="D15" s="28"/>
      <c r="E15" s="28"/>
      <c r="F15" s="28" t="s">
        <v>2713</v>
      </c>
      <c r="G15" s="28"/>
      <c r="H15" s="28"/>
    </row>
    <row r="16" spans="1:8" ht="12.75" customHeight="1" x14ac:dyDescent="0.35">
      <c r="A16" s="38">
        <v>4</v>
      </c>
      <c r="B16" s="28"/>
      <c r="C16" s="28" t="s">
        <v>2714</v>
      </c>
      <c r="D16" s="28"/>
      <c r="E16" s="28"/>
      <c r="F16" s="28"/>
      <c r="G16" s="28" t="str">
        <f>IF(BeginEnd=0,"(am Anfang des Monats)","(zum Ende des Monats)")</f>
        <v>(am Anfang des Monats)</v>
      </c>
      <c r="H16" s="28"/>
    </row>
    <row r="17" spans="1:8" ht="12.75" customHeight="1" x14ac:dyDescent="0.35">
      <c r="A17" s="28"/>
      <c r="B17" s="28"/>
      <c r="C17" s="28" t="s">
        <v>2715</v>
      </c>
      <c r="D17" s="28"/>
      <c r="E17" s="28"/>
      <c r="F17" s="28"/>
      <c r="G17" s="28" t="str">
        <f>IF(CalcPoint=0,"(am Anfang des Monats)","(zum Ende des Monats)")</f>
        <v>(am Anfang des Monats)</v>
      </c>
      <c r="H17" s="28"/>
    </row>
    <row r="18" spans="1:8" ht="12.75" customHeight="1" x14ac:dyDescent="0.35">
      <c r="A18" s="28"/>
      <c r="B18" s="28"/>
      <c r="C18" s="28" t="s">
        <v>2716</v>
      </c>
      <c r="D18" s="28"/>
      <c r="E18" s="28"/>
      <c r="F18" s="28"/>
      <c r="G18" s="28" t="s">
        <v>2717</v>
      </c>
      <c r="H18" s="28"/>
    </row>
    <row r="19" spans="1:8" ht="12.75" customHeight="1" x14ac:dyDescent="0.35">
      <c r="A19" s="28"/>
      <c r="B19" s="28"/>
      <c r="C19" s="28"/>
      <c r="D19" s="28"/>
      <c r="E19" s="28"/>
      <c r="F19" s="28"/>
      <c r="G19" s="28"/>
      <c r="H19" s="28"/>
    </row>
    <row r="20" spans="1:8" ht="12.75" customHeight="1" x14ac:dyDescent="0.35">
      <c r="A20" s="28"/>
      <c r="B20" s="28"/>
      <c r="C20" s="28" t="s">
        <v>2718</v>
      </c>
      <c r="D20" s="28"/>
      <c r="E20" s="28"/>
      <c r="F20" s="28"/>
      <c r="G20" s="28"/>
      <c r="H20" s="28"/>
    </row>
    <row r="21" spans="1:8" ht="12.75" customHeight="1" x14ac:dyDescent="0.35">
      <c r="A21" s="28"/>
      <c r="B21" s="28"/>
      <c r="C21" s="28" t="s">
        <v>2719</v>
      </c>
      <c r="D21" s="28"/>
      <c r="E21" s="28"/>
      <c r="F21" s="28"/>
      <c r="G21" s="28"/>
      <c r="H21" s="28"/>
    </row>
    <row r="22" spans="1:8" ht="12.75" customHeight="1" x14ac:dyDescent="0.35">
      <c r="A22" s="28"/>
      <c r="B22" s="28"/>
      <c r="C22" s="28"/>
      <c r="D22" s="28"/>
      <c r="E22" s="28"/>
      <c r="F22" s="28"/>
      <c r="G22" s="28"/>
      <c r="H22" s="28"/>
    </row>
    <row r="23" spans="1:8" ht="12.75" customHeight="1" x14ac:dyDescent="0.35">
      <c r="A23" s="28"/>
      <c r="B23" s="28"/>
      <c r="C23" s="28" t="s">
        <v>2720</v>
      </c>
      <c r="D23" s="28"/>
      <c r="E23" s="28"/>
      <c r="F23" s="28"/>
      <c r="G23" s="28" t="str">
        <f>IF(J23="","%  ( = Renditeforderung )","%")</f>
        <v>%  ( = Renditeforderung )</v>
      </c>
      <c r="H23" s="28"/>
    </row>
    <row r="24" spans="1:8" ht="12.75" customHeight="1" x14ac:dyDescent="0.35">
      <c r="A24" s="28"/>
      <c r="B24" s="28" t="s">
        <v>2721</v>
      </c>
      <c r="C24" s="28" t="s">
        <v>2722</v>
      </c>
      <c r="D24" s="28"/>
      <c r="E24" s="28"/>
      <c r="F24" s="28"/>
      <c r="G24" s="28"/>
      <c r="H24" s="28"/>
    </row>
    <row r="25" spans="1:8" ht="12.75" customHeight="1" x14ac:dyDescent="0.35">
      <c r="A25" s="28"/>
      <c r="B25" s="28"/>
      <c r="C25" s="28"/>
      <c r="D25" s="28"/>
      <c r="E25" s="28"/>
      <c r="F25" s="28"/>
      <c r="G25" s="28"/>
      <c r="H25" s="28"/>
    </row>
    <row r="26" spans="1:8" ht="12.75" customHeight="1" x14ac:dyDescent="0.35">
      <c r="A26" s="28"/>
      <c r="B26" s="28"/>
      <c r="C26" s="28" t="s">
        <v>2723</v>
      </c>
      <c r="D26" s="28"/>
      <c r="E26" s="28"/>
      <c r="F26" s="28"/>
      <c r="G26" s="28"/>
      <c r="H26" s="28"/>
    </row>
    <row r="27" spans="1:8" ht="12.75" customHeight="1" x14ac:dyDescent="0.35">
      <c r="A27" s="28"/>
      <c r="B27" s="28"/>
      <c r="C27" s="28" t="s">
        <v>2722</v>
      </c>
      <c r="D27" s="28"/>
      <c r="E27" s="28"/>
      <c r="F27" s="28"/>
      <c r="G27" s="28"/>
      <c r="H27" s="28"/>
    </row>
    <row r="28" spans="1:8" ht="12.75" customHeight="1" x14ac:dyDescent="0.35">
      <c r="A28" s="28"/>
      <c r="B28" s="28"/>
      <c r="C28" s="28"/>
      <c r="D28" s="28"/>
      <c r="E28" s="28"/>
      <c r="F28" s="28"/>
      <c r="G28" s="28"/>
      <c r="H28" s="28"/>
    </row>
    <row r="29" spans="1:8" ht="12.75" customHeight="1" x14ac:dyDescent="0.35">
      <c r="A29" s="28"/>
      <c r="B29" s="28"/>
      <c r="C29" s="28"/>
      <c r="D29" s="28"/>
      <c r="E29" s="28"/>
      <c r="F29" s="28"/>
      <c r="G29" s="28"/>
      <c r="H29" s="28"/>
    </row>
    <row r="30" spans="1:8" ht="12.75" customHeight="1" x14ac:dyDescent="0.35">
      <c r="A30" s="28"/>
      <c r="B30" s="28"/>
      <c r="C30" s="28" t="s">
        <v>5102</v>
      </c>
      <c r="D30" s="28"/>
      <c r="E30" s="28"/>
      <c r="F30" s="28"/>
      <c r="G30" s="28"/>
      <c r="H30" s="28"/>
    </row>
    <row r="31" spans="1:8" ht="12.75" customHeight="1" x14ac:dyDescent="0.35">
      <c r="A31" s="28"/>
      <c r="B31" s="28"/>
      <c r="C31" s="28"/>
      <c r="D31" s="28"/>
      <c r="E31" s="28"/>
      <c r="F31" s="28"/>
      <c r="G31" s="28"/>
      <c r="H31" s="28"/>
    </row>
    <row r="32" spans="1:8" ht="12.75" customHeight="1" x14ac:dyDescent="0.35">
      <c r="A32" s="28"/>
      <c r="B32" s="28"/>
      <c r="C32" s="28"/>
      <c r="D32" s="28"/>
      <c r="E32" s="28"/>
      <c r="F32" s="28"/>
      <c r="G32" s="28"/>
      <c r="H32" s="28"/>
    </row>
    <row r="33" spans="1:10" ht="12.75" customHeight="1" x14ac:dyDescent="0.35">
      <c r="A33" s="28"/>
      <c r="B33" s="28"/>
      <c r="C33" s="28"/>
      <c r="D33" s="28"/>
      <c r="E33" s="28"/>
      <c r="F33" s="28"/>
      <c r="G33" s="28"/>
      <c r="H33" s="28"/>
    </row>
    <row r="34" spans="1:10" ht="12.75" customHeight="1" x14ac:dyDescent="0.35">
      <c r="A34" s="28"/>
      <c r="B34" s="28"/>
      <c r="C34" s="28"/>
      <c r="D34" s="28"/>
      <c r="E34" s="28"/>
      <c r="F34" s="28"/>
      <c r="G34" s="28"/>
      <c r="H34" s="28"/>
    </row>
    <row r="35" spans="1:10" ht="12.75" customHeight="1" x14ac:dyDescent="0.35">
      <c r="A35" s="28"/>
      <c r="B35" s="28"/>
      <c r="C35" s="28"/>
      <c r="D35" s="28"/>
      <c r="E35" s="28"/>
      <c r="F35" s="28"/>
      <c r="G35" s="28"/>
      <c r="H35" s="28"/>
    </row>
    <row r="36" spans="1:10" ht="12.75" customHeight="1" x14ac:dyDescent="0.35">
      <c r="A36" s="28"/>
      <c r="B36" s="28"/>
      <c r="C36" s="28"/>
      <c r="D36" s="28"/>
      <c r="E36" s="28"/>
      <c r="F36" s="28"/>
      <c r="G36" s="28"/>
      <c r="H36" s="28"/>
    </row>
    <row r="37" spans="1:10" ht="12.75" customHeight="1" x14ac:dyDescent="0.35">
      <c r="A37" s="28"/>
      <c r="B37" s="28"/>
      <c r="C37" s="28"/>
      <c r="D37" s="28"/>
      <c r="E37" s="28"/>
      <c r="F37" s="28"/>
      <c r="G37" s="28"/>
      <c r="H37" s="28"/>
    </row>
    <row r="38" spans="1:10" ht="12.75" customHeight="1" x14ac:dyDescent="0.35">
      <c r="A38" s="28"/>
      <c r="B38" s="28"/>
      <c r="C38" s="28"/>
      <c r="D38" s="28"/>
      <c r="E38" s="28"/>
      <c r="F38" s="28"/>
      <c r="G38" s="28"/>
      <c r="H38" s="28"/>
    </row>
    <row r="39" spans="1:10" ht="12.75" customHeight="1" x14ac:dyDescent="0.35">
      <c r="A39" s="28"/>
      <c r="B39" s="28"/>
      <c r="C39" s="28"/>
      <c r="D39" s="28"/>
      <c r="E39" s="28"/>
      <c r="F39" s="28"/>
      <c r="G39" s="28"/>
      <c r="H39" s="28"/>
    </row>
    <row r="40" spans="1:10" ht="12.75" customHeight="1" x14ac:dyDescent="0.35">
      <c r="A40" s="28"/>
      <c r="B40" s="28"/>
      <c r="C40" s="28"/>
      <c r="D40" s="28"/>
      <c r="E40" s="28"/>
      <c r="F40" s="28"/>
      <c r="G40" s="28"/>
      <c r="H40" s="28"/>
    </row>
    <row r="41" spans="1:10" ht="12.75" customHeight="1" x14ac:dyDescent="0.35">
      <c r="A41" s="28"/>
      <c r="B41" s="28"/>
      <c r="C41" s="28"/>
      <c r="D41" s="28"/>
      <c r="E41" s="28"/>
      <c r="F41" s="28"/>
      <c r="G41" s="28"/>
      <c r="H41" s="28"/>
    </row>
    <row r="42" spans="1:10" ht="12.75" customHeight="1" x14ac:dyDescent="0.35">
      <c r="A42" s="28"/>
      <c r="B42" s="28"/>
      <c r="C42" s="28"/>
      <c r="D42" s="28"/>
      <c r="E42" s="28"/>
      <c r="F42" s="28"/>
      <c r="G42" s="28"/>
      <c r="H42" s="28"/>
    </row>
    <row r="43" spans="1:10" ht="12.75" customHeight="1" x14ac:dyDescent="0.35">
      <c r="A43" s="28"/>
      <c r="B43" s="28"/>
      <c r="C43" s="28"/>
      <c r="D43" s="28"/>
      <c r="E43" s="28"/>
      <c r="F43" s="28"/>
      <c r="G43" s="28"/>
      <c r="H43" s="28"/>
    </row>
    <row r="44" spans="1:10" ht="12.75" customHeight="1" x14ac:dyDescent="0.35">
      <c r="A44" s="28"/>
      <c r="B44" s="28"/>
      <c r="C44" s="28"/>
      <c r="D44" s="28"/>
      <c r="E44" s="28"/>
      <c r="F44" s="28"/>
      <c r="G44" s="28"/>
      <c r="H44" s="28"/>
    </row>
    <row r="45" spans="1:10" ht="12.75" customHeight="1" x14ac:dyDescent="0.35">
      <c r="A45" s="28"/>
      <c r="B45" s="28"/>
      <c r="C45" s="28" t="s">
        <v>2724</v>
      </c>
      <c r="D45" s="28"/>
      <c r="E45" s="28"/>
      <c r="F45" s="28"/>
      <c r="G45" s="28"/>
      <c r="H45" s="28"/>
    </row>
    <row r="46" spans="1:10" ht="12.75" customHeight="1" x14ac:dyDescent="0.35">
      <c r="A46" s="28"/>
      <c r="B46" s="28"/>
      <c r="C46" s="28"/>
      <c r="D46" s="28"/>
      <c r="E46" s="28"/>
      <c r="F46" s="28"/>
      <c r="G46" s="28"/>
      <c r="H46" s="28"/>
    </row>
    <row r="47" spans="1:10" ht="12.75" customHeight="1" x14ac:dyDescent="0.35">
      <c r="A47" s="28"/>
      <c r="B47" s="28"/>
      <c r="C47" s="28" t="s">
        <v>2703</v>
      </c>
      <c r="D47" s="28"/>
      <c r="E47" s="28"/>
      <c r="F47" s="28"/>
      <c r="G47" s="28"/>
      <c r="J47" s="28" t="str">
        <f>"Planungszeitraum: "&amp;FIXED((InvTime+InvTimeMonths/12+InvTime2+InvTimeMonths2/12),1)&amp;" Jahre"</f>
        <v>Planungszeitraum: 5.3 Jahre</v>
      </c>
    </row>
    <row r="48" spans="1:10" ht="12.75" customHeight="1" x14ac:dyDescent="0.35">
      <c r="A48" s="28"/>
      <c r="B48" s="28"/>
      <c r="C48" s="28"/>
      <c r="D48" s="28"/>
      <c r="E48" s="28"/>
      <c r="F48" s="28"/>
      <c r="G48" s="28"/>
      <c r="H48" s="28"/>
    </row>
    <row r="49" spans="1:8" ht="12.75" customHeight="1" x14ac:dyDescent="0.35">
      <c r="A49" s="28"/>
      <c r="B49" s="28"/>
      <c r="C49" s="28"/>
      <c r="D49" s="28"/>
      <c r="E49" s="28"/>
      <c r="F49" s="28"/>
      <c r="G49" s="28"/>
      <c r="H49" s="28"/>
    </row>
    <row r="50" spans="1:8" ht="12.75" customHeight="1" x14ac:dyDescent="0.35">
      <c r="A50" s="28"/>
      <c r="B50" s="28"/>
      <c r="C50" s="28" t="s">
        <v>2696</v>
      </c>
      <c r="D50" s="28"/>
      <c r="E50" s="1377" t="s">
        <v>6319</v>
      </c>
      <c r="F50" s="28"/>
      <c r="G50" s="28"/>
      <c r="H50" s="28"/>
    </row>
    <row r="51" spans="1:8" ht="12.75" customHeight="1" x14ac:dyDescent="0.35">
      <c r="A51" s="28"/>
      <c r="B51" s="28"/>
      <c r="C51" s="28" t="s">
        <v>2725</v>
      </c>
      <c r="D51" s="28"/>
      <c r="E51" s="1377" t="s">
        <v>6320</v>
      </c>
      <c r="F51" s="28"/>
      <c r="G51" s="28"/>
      <c r="H51" s="28"/>
    </row>
    <row r="52" spans="1:8" ht="12.75" customHeight="1" x14ac:dyDescent="0.35">
      <c r="A52" s="28"/>
      <c r="B52" s="28"/>
      <c r="C52" s="28"/>
      <c r="D52" s="28"/>
      <c r="E52" s="1377" t="s">
        <v>6229</v>
      </c>
      <c r="F52" s="28"/>
      <c r="G52" s="28"/>
      <c r="H52" s="28"/>
    </row>
    <row r="53" spans="1:8" ht="12.75" customHeight="1" x14ac:dyDescent="0.35">
      <c r="A53" s="28"/>
      <c r="B53" s="28"/>
      <c r="C53" s="28"/>
      <c r="D53" s="28"/>
      <c r="E53" s="1377" t="s">
        <v>6230</v>
      </c>
      <c r="F53" s="28"/>
      <c r="G53" s="28"/>
      <c r="H53" s="28"/>
    </row>
    <row r="54" spans="1:8" ht="12.75" customHeight="1" x14ac:dyDescent="0.35">
      <c r="A54" s="28"/>
      <c r="B54" s="28"/>
      <c r="D54" s="28"/>
      <c r="E54" s="28"/>
      <c r="F54" s="28"/>
      <c r="G54" s="28"/>
      <c r="H54" s="28"/>
    </row>
    <row r="55" spans="1:8" ht="12.75" customHeight="1" x14ac:dyDescent="0.35">
      <c r="A55" s="28"/>
      <c r="B55" s="28"/>
      <c r="D55" s="28"/>
      <c r="E55" s="28"/>
      <c r="F55" s="28"/>
      <c r="G55" s="28"/>
      <c r="H55" s="28"/>
    </row>
    <row r="56" spans="1:8" ht="12.75" customHeight="1" x14ac:dyDescent="0.35">
      <c r="A56" s="28"/>
      <c r="B56" s="28"/>
      <c r="C56" s="28" t="s">
        <v>2698</v>
      </c>
      <c r="D56" s="28"/>
      <c r="E56" s="28"/>
      <c r="F56" s="28"/>
      <c r="G56" s="28"/>
      <c r="H56" s="28"/>
    </row>
    <row r="57" spans="1:8" ht="12.75" customHeight="1" x14ac:dyDescent="0.35">
      <c r="A57" s="28"/>
      <c r="B57" s="28"/>
      <c r="C57" s="28"/>
      <c r="D57" s="28"/>
      <c r="E57" s="28"/>
      <c r="F57" s="28"/>
      <c r="G57" s="28"/>
      <c r="H57" s="28"/>
    </row>
    <row r="58" spans="1:8" ht="12.75" customHeight="1" x14ac:dyDescent="0.35">
      <c r="A58" s="28"/>
      <c r="B58" s="28"/>
      <c r="C58" s="28" t="s">
        <v>2726</v>
      </c>
      <c r="D58" s="28"/>
      <c r="E58" s="1377" t="s">
        <v>6321</v>
      </c>
      <c r="F58" s="28"/>
      <c r="G58" s="28"/>
      <c r="H58" s="28"/>
    </row>
    <row r="59" spans="1:8" ht="12.75" customHeight="1" x14ac:dyDescent="0.35">
      <c r="A59" s="28"/>
      <c r="B59" s="28"/>
      <c r="C59" s="28"/>
      <c r="D59" s="28"/>
      <c r="E59" s="1386" t="s">
        <v>45</v>
      </c>
      <c r="F59" s="28"/>
      <c r="G59" s="28"/>
      <c r="H59" s="28"/>
    </row>
    <row r="60" spans="1:8" ht="12.75" customHeight="1" x14ac:dyDescent="0.35">
      <c r="A60" s="28"/>
      <c r="B60" s="28"/>
      <c r="C60" s="28"/>
      <c r="D60" s="28"/>
      <c r="E60" s="1386" t="s">
        <v>45</v>
      </c>
      <c r="F60" s="28"/>
      <c r="G60" s="28"/>
      <c r="H60" s="28"/>
    </row>
    <row r="61" spans="1:8" ht="12.75" customHeight="1" x14ac:dyDescent="0.35">
      <c r="A61" s="28"/>
      <c r="B61" s="28"/>
      <c r="C61" s="28"/>
      <c r="D61" s="28"/>
      <c r="E61" s="28"/>
      <c r="F61" s="28"/>
      <c r="G61" s="28"/>
      <c r="H61" s="28"/>
    </row>
    <row r="62" spans="1:8" ht="12.75" customHeight="1" x14ac:dyDescent="0.35">
      <c r="A62" s="28"/>
      <c r="B62" s="28"/>
      <c r="C62" s="28"/>
      <c r="D62" s="28"/>
      <c r="E62" s="28"/>
      <c r="F62" s="28"/>
      <c r="G62" s="28"/>
      <c r="H62" s="28"/>
    </row>
    <row r="63" spans="1:8" ht="12.75" customHeight="1" x14ac:dyDescent="0.35">
      <c r="A63" s="28"/>
      <c r="B63" s="28"/>
      <c r="D63" s="28"/>
      <c r="E63" s="28"/>
      <c r="F63" s="28"/>
      <c r="G63" s="28"/>
      <c r="H63" s="28"/>
    </row>
    <row r="69" spans="3:3" x14ac:dyDescent="0.35">
      <c r="C69" s="28" t="s">
        <v>2727</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autoPageBreaks="0" fitToPage="1"/>
  </sheetPr>
  <dimension ref="A1:J69"/>
  <sheetViews>
    <sheetView workbookViewId="0">
      <selection activeCell="E59" sqref="E59:E60"/>
    </sheetView>
  </sheetViews>
  <sheetFormatPr defaultColWidth="9.1796875" defaultRowHeight="14.5" x14ac:dyDescent="0.35"/>
  <cols>
    <col min="1" max="1" width="2.1796875" style="97" customWidth="1"/>
    <col min="2" max="2" width="10.54296875" style="97" customWidth="1"/>
    <col min="3" max="6" width="9.1796875" style="97"/>
    <col min="7" max="7" width="22.1796875" style="97" customWidth="1"/>
    <col min="8" max="8" width="7.81640625" style="97" customWidth="1"/>
    <col min="9" max="9" width="25.7265625" style="97" customWidth="1"/>
    <col min="10" max="16384" width="9.1796875" style="97"/>
  </cols>
  <sheetData>
    <row r="1" spans="1:8" ht="12.75" customHeight="1" x14ac:dyDescent="0.35"/>
    <row r="2" spans="1:8" ht="12.75" customHeight="1" x14ac:dyDescent="0.35"/>
    <row r="3" spans="1:8" ht="12.75" customHeight="1" x14ac:dyDescent="0.35">
      <c r="C3" s="97" t="s">
        <v>2728</v>
      </c>
    </row>
    <row r="4" spans="1:8" ht="12.75" customHeight="1" x14ac:dyDescent="0.35"/>
    <row r="5" spans="1:8" ht="12.75" customHeight="1" x14ac:dyDescent="0.35">
      <c r="B5" s="97" t="s">
        <v>2729</v>
      </c>
      <c r="C5" s="97" t="s">
        <v>2730</v>
      </c>
      <c r="F5" s="1332" t="s">
        <v>6330</v>
      </c>
    </row>
    <row r="6" spans="1:8" ht="12.75" customHeight="1" x14ac:dyDescent="0.35"/>
    <row r="7" spans="1:8" ht="12.75" customHeight="1" x14ac:dyDescent="0.35">
      <c r="B7" s="97" t="s">
        <v>2731</v>
      </c>
      <c r="C7" s="97" t="s">
        <v>2732</v>
      </c>
      <c r="H7" s="97" t="s">
        <v>2733</v>
      </c>
    </row>
    <row r="8" spans="1:8" ht="12.75" customHeight="1" x14ac:dyDescent="0.35">
      <c r="C8" s="97" t="s">
        <v>2734</v>
      </c>
    </row>
    <row r="9" spans="1:8" ht="12.75" customHeight="1" x14ac:dyDescent="0.35">
      <c r="B9" s="97" t="s">
        <v>2735</v>
      </c>
      <c r="C9" s="97" t="s">
        <v>2736</v>
      </c>
    </row>
    <row r="10" spans="1:8" ht="12.75" customHeight="1" x14ac:dyDescent="0.35">
      <c r="B10" s="97" t="s">
        <v>2737</v>
      </c>
      <c r="C10" s="97" t="s">
        <v>2738</v>
      </c>
    </row>
    <row r="11" spans="1:8" ht="12.75" customHeight="1" x14ac:dyDescent="0.35"/>
    <row r="12" spans="1:8" ht="12.75" customHeight="1" x14ac:dyDescent="0.35">
      <c r="C12" s="97" t="s">
        <v>2739</v>
      </c>
    </row>
    <row r="13" spans="1:8" ht="12.75" customHeight="1" x14ac:dyDescent="0.35">
      <c r="C13" s="97" t="s">
        <v>2740</v>
      </c>
    </row>
    <row r="14" spans="1:8" ht="12.75" customHeight="1" x14ac:dyDescent="0.35"/>
    <row r="15" spans="1:8" ht="12.75" customHeight="1" x14ac:dyDescent="0.35">
      <c r="F15" s="97" t="s">
        <v>2741</v>
      </c>
    </row>
    <row r="16" spans="1:8" ht="12.75" customHeight="1" x14ac:dyDescent="0.35">
      <c r="A16" s="97">
        <v>5</v>
      </c>
      <c r="C16" s="97" t="s">
        <v>2742</v>
      </c>
      <c r="G16" s="97" t="str">
        <f>IF(BeginEnd=0,"(na początku okresu)","(na końcu okresu)")</f>
        <v>(na początku okresu)</v>
      </c>
    </row>
    <row r="17" spans="2:7" ht="12.75" customHeight="1" x14ac:dyDescent="0.35">
      <c r="C17" s="97" t="s">
        <v>2743</v>
      </c>
      <c r="G17" s="97" t="str">
        <f>IF(CalcPoint=0,"(na początku okresu)","(na końcu okresu)")</f>
        <v>(na początku okresu)</v>
      </c>
    </row>
    <row r="18" spans="2:7" ht="12.75" customHeight="1" x14ac:dyDescent="0.35">
      <c r="C18" s="97" t="s">
        <v>2744</v>
      </c>
      <c r="G18" s="97" t="s">
        <v>2745</v>
      </c>
    </row>
    <row r="19" spans="2:7" ht="12.75" customHeight="1" x14ac:dyDescent="0.35"/>
    <row r="20" spans="2:7" ht="12.75" customHeight="1" x14ac:dyDescent="0.35">
      <c r="C20" s="97" t="s">
        <v>2746</v>
      </c>
    </row>
    <row r="21" spans="2:7" ht="12.75" customHeight="1" x14ac:dyDescent="0.35">
      <c r="C21" s="97" t="s">
        <v>2747</v>
      </c>
    </row>
    <row r="22" spans="2:7" ht="12.75" customHeight="1" x14ac:dyDescent="0.35"/>
    <row r="23" spans="2:7" ht="12.75" customHeight="1" x14ac:dyDescent="0.35">
      <c r="C23" s="97" t="s">
        <v>2748</v>
      </c>
      <c r="G23" s="97" t="str">
        <f>IF(J23="","% (=oczekiwana stopa zwrotu)","%")</f>
        <v>% (=oczekiwana stopa zwrotu)</v>
      </c>
    </row>
    <row r="24" spans="2:7" ht="12.75" customHeight="1" x14ac:dyDescent="0.35">
      <c r="B24" s="97" t="s">
        <v>2749</v>
      </c>
      <c r="C24" s="97" t="s">
        <v>2750</v>
      </c>
    </row>
    <row r="25" spans="2:7" ht="12.75" customHeight="1" x14ac:dyDescent="0.35"/>
    <row r="26" spans="2:7" ht="12.75" customHeight="1" x14ac:dyDescent="0.35">
      <c r="C26" s="97" t="s">
        <v>2751</v>
      </c>
    </row>
    <row r="27" spans="2:7" ht="12.75" customHeight="1" x14ac:dyDescent="0.35">
      <c r="C27" s="97" t="s">
        <v>2750</v>
      </c>
    </row>
    <row r="28" spans="2:7" ht="12.75" customHeight="1" x14ac:dyDescent="0.35"/>
    <row r="29" spans="2:7" ht="12.75" customHeight="1" x14ac:dyDescent="0.35"/>
    <row r="30" spans="2:7" ht="12.75" customHeight="1" x14ac:dyDescent="0.35">
      <c r="C30" s="97" t="s">
        <v>2752</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2753</v>
      </c>
    </row>
    <row r="46" spans="3:10" ht="12.75" customHeight="1" x14ac:dyDescent="0.35"/>
    <row r="47" spans="3:10" ht="12.75" customHeight="1" x14ac:dyDescent="0.35">
      <c r="C47" s="97" t="s">
        <v>2730</v>
      </c>
      <c r="J47" s="97" t="str">
        <f>"Okres obliczeniowy: "&amp;FIXED((InvTime+InvTimeMonths/12+InvTime2+InvTimeMonths2/12),1)&amp;" lat(a)"</f>
        <v>Okres obliczeniowy: 5.3 lat(a)</v>
      </c>
    </row>
    <row r="48" spans="3:10" ht="12.75" customHeight="1" x14ac:dyDescent="0.35"/>
    <row r="49" spans="3:5" ht="12.75" customHeight="1" x14ac:dyDescent="0.35"/>
    <row r="50" spans="3:5" ht="12.75" customHeight="1" x14ac:dyDescent="0.35">
      <c r="C50" s="97" t="s">
        <v>2754</v>
      </c>
      <c r="E50" s="1332" t="s">
        <v>6331</v>
      </c>
    </row>
    <row r="51" spans="3:5" ht="12.75" customHeight="1" x14ac:dyDescent="0.35">
      <c r="C51" s="97" t="s">
        <v>2755</v>
      </c>
      <c r="E51" s="1332" t="s">
        <v>6332</v>
      </c>
    </row>
    <row r="52" spans="3:5" ht="12.75" customHeight="1" x14ac:dyDescent="0.35">
      <c r="E52" s="1332" t="s">
        <v>6333</v>
      </c>
    </row>
    <row r="53" spans="3:5" ht="12.75" customHeight="1" x14ac:dyDescent="0.35">
      <c r="E53" s="1332" t="s">
        <v>6334</v>
      </c>
    </row>
    <row r="54" spans="3:5" ht="12.75" customHeight="1" x14ac:dyDescent="0.35"/>
    <row r="55" spans="3:5" ht="12.75" customHeight="1" x14ac:dyDescent="0.35"/>
    <row r="56" spans="3:5" ht="12.75" customHeight="1" x14ac:dyDescent="0.35">
      <c r="C56" s="97" t="s">
        <v>2756</v>
      </c>
    </row>
    <row r="57" spans="3:5" ht="12.75" customHeight="1" x14ac:dyDescent="0.35"/>
    <row r="58" spans="3:5" ht="12.75" customHeight="1" x14ac:dyDescent="0.35">
      <c r="C58" s="97" t="s">
        <v>2757</v>
      </c>
      <c r="E58" s="1332" t="s">
        <v>6335</v>
      </c>
    </row>
    <row r="59" spans="3:5" ht="12.75" customHeight="1" x14ac:dyDescent="0.35">
      <c r="E59" s="1387" t="s">
        <v>45</v>
      </c>
    </row>
    <row r="60" spans="3:5" ht="12.75" customHeight="1" x14ac:dyDescent="0.35">
      <c r="E60" s="1387" t="s">
        <v>45</v>
      </c>
    </row>
    <row r="61" spans="3:5" ht="12.75" customHeight="1" x14ac:dyDescent="0.35"/>
    <row r="69" spans="3:3" x14ac:dyDescent="0.35">
      <c r="C69" s="97" t="s">
        <v>2758</v>
      </c>
    </row>
  </sheetData>
  <printOptions gridLines="1"/>
  <pageMargins left="0.35433070866141736" right="0.35433070866141736" top="0.78740157480314965" bottom="0.78740157480314965" header="0.51181102362204722" footer="0.51181102362204722"/>
  <pageSetup paperSize="9" fitToWidth="2" orientation="portrait" r:id="rId1"/>
  <headerFooter>
    <oddHeader>&amp;C&amp;A</oddHeader>
    <oddFooter>&amp;CPage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autoPageBreaks="0" fitToPage="1"/>
  </sheetPr>
  <dimension ref="A1:J69"/>
  <sheetViews>
    <sheetView workbookViewId="0">
      <selection activeCell="F60" sqref="F60"/>
    </sheetView>
  </sheetViews>
  <sheetFormatPr defaultColWidth="9.1796875" defaultRowHeight="14.5" x14ac:dyDescent="0.35"/>
  <cols>
    <col min="1" max="1" width="2.1796875" style="97" customWidth="1"/>
    <col min="2" max="2" width="10.54296875" style="97" customWidth="1"/>
    <col min="3" max="3" width="34.7265625" style="97" customWidth="1"/>
    <col min="4" max="5" width="0.453125" style="97" customWidth="1"/>
    <col min="6" max="6" width="10.7265625" style="97" customWidth="1"/>
    <col min="7" max="7" width="22.1796875" style="97" customWidth="1"/>
    <col min="8" max="8" width="7.81640625" style="97" customWidth="1"/>
    <col min="9" max="9" width="25.7265625" style="97" customWidth="1"/>
    <col min="10" max="10" width="5.7265625" style="97" customWidth="1"/>
    <col min="11" max="16384" width="9.1796875" style="97"/>
  </cols>
  <sheetData>
    <row r="1" spans="1:8" ht="12.75" customHeight="1" x14ac:dyDescent="0.35"/>
    <row r="2" spans="1:8" ht="12.75" customHeight="1" x14ac:dyDescent="0.35"/>
    <row r="3" spans="1:8" ht="12.75" customHeight="1" x14ac:dyDescent="0.35">
      <c r="C3" s="97" t="s">
        <v>2759</v>
      </c>
    </row>
    <row r="4" spans="1:8" ht="12.75" customHeight="1" x14ac:dyDescent="0.35"/>
    <row r="5" spans="1:8" ht="12.75" customHeight="1" x14ac:dyDescent="0.35">
      <c r="B5" s="97" t="s">
        <v>2760</v>
      </c>
      <c r="C5" s="97" t="s">
        <v>2761</v>
      </c>
      <c r="F5" s="1332" t="s">
        <v>6344</v>
      </c>
    </row>
    <row r="6" spans="1:8" ht="12.75" customHeight="1" x14ac:dyDescent="0.35"/>
    <row r="7" spans="1:8" ht="12.75" customHeight="1" x14ac:dyDescent="0.35">
      <c r="B7" s="97" t="s">
        <v>2762</v>
      </c>
      <c r="C7" s="97" t="s">
        <v>2763</v>
      </c>
      <c r="H7" s="97" t="s">
        <v>7</v>
      </c>
    </row>
    <row r="8" spans="1:8" ht="12.75" customHeight="1" x14ac:dyDescent="0.35">
      <c r="C8" s="97" t="s">
        <v>2764</v>
      </c>
    </row>
    <row r="9" spans="1:8" ht="12.75" customHeight="1" x14ac:dyDescent="0.35">
      <c r="B9" s="97" t="s">
        <v>2765</v>
      </c>
      <c r="C9" s="97" t="s">
        <v>2766</v>
      </c>
    </row>
    <row r="10" spans="1:8" ht="12.75" customHeight="1" x14ac:dyDescent="0.35">
      <c r="B10" s="97" t="s">
        <v>2767</v>
      </c>
      <c r="C10" s="97" t="s">
        <v>2768</v>
      </c>
    </row>
    <row r="11" spans="1:8" ht="12.75" customHeight="1" x14ac:dyDescent="0.35"/>
    <row r="12" spans="1:8" ht="12.75" customHeight="1" x14ac:dyDescent="0.35">
      <c r="C12" s="97" t="s">
        <v>2769</v>
      </c>
    </row>
    <row r="13" spans="1:8" ht="12.75" customHeight="1" x14ac:dyDescent="0.35">
      <c r="C13" s="97" t="s">
        <v>2770</v>
      </c>
    </row>
    <row r="14" spans="1:8" ht="12.75" customHeight="1" x14ac:dyDescent="0.35"/>
    <row r="15" spans="1:8" ht="12.75" customHeight="1" x14ac:dyDescent="0.35">
      <c r="F15" s="97" t="s">
        <v>2771</v>
      </c>
    </row>
    <row r="16" spans="1:8" ht="12.75" customHeight="1" x14ac:dyDescent="0.35">
      <c r="A16" s="97">
        <v>6</v>
      </c>
      <c r="C16" s="97" t="s">
        <v>2772</v>
      </c>
      <c r="G16" s="97" t="str">
        <f>IF(BeginEnd=0,"(al principio del período)","(al final del período)")</f>
        <v>(al principio del período)</v>
      </c>
    </row>
    <row r="17" spans="2:7" ht="12.75" customHeight="1" x14ac:dyDescent="0.35">
      <c r="C17" s="97" t="s">
        <v>2773</v>
      </c>
      <c r="G17" s="97" t="str">
        <f>IF(CalcPoint=0,"(al principio del período)","(al final del período)")</f>
        <v>(al principio del período)</v>
      </c>
    </row>
    <row r="18" spans="2:7" ht="12.75" customHeight="1" x14ac:dyDescent="0.35">
      <c r="C18" s="97" t="s">
        <v>2774</v>
      </c>
      <c r="G18" s="97" t="s">
        <v>2775</v>
      </c>
    </row>
    <row r="19" spans="2:7" ht="12.75" customHeight="1" x14ac:dyDescent="0.35"/>
    <row r="20" spans="2:7" ht="12.75" customHeight="1" x14ac:dyDescent="0.35">
      <c r="C20" s="97" t="s">
        <v>2776</v>
      </c>
    </row>
    <row r="21" spans="2:7" ht="12.75" customHeight="1" x14ac:dyDescent="0.35">
      <c r="C21" s="97" t="s">
        <v>2777</v>
      </c>
    </row>
    <row r="22" spans="2:7" ht="12.75" customHeight="1" x14ac:dyDescent="0.35"/>
    <row r="23" spans="2:7" ht="12.75" customHeight="1" x14ac:dyDescent="0.35">
      <c r="C23" s="97" t="s">
        <v>2778</v>
      </c>
      <c r="G23" s="97" t="str">
        <f>IF(J23="","% ( = tasa de rendimiento requerida)","%")</f>
        <v>% ( = tasa de rendimiento requerida)</v>
      </c>
    </row>
    <row r="24" spans="2:7" ht="12.75" customHeight="1" x14ac:dyDescent="0.35">
      <c r="B24" s="97" t="s">
        <v>2779</v>
      </c>
      <c r="C24" s="97" t="s">
        <v>2780</v>
      </c>
    </row>
    <row r="25" spans="2:7" ht="12.75" customHeight="1" x14ac:dyDescent="0.35"/>
    <row r="26" spans="2:7" ht="12.75" customHeight="1" x14ac:dyDescent="0.35">
      <c r="C26" s="97" t="s">
        <v>2781</v>
      </c>
    </row>
    <row r="27" spans="2:7" ht="12.75" customHeight="1" x14ac:dyDescent="0.35">
      <c r="C27" s="97" t="s">
        <v>2780</v>
      </c>
    </row>
    <row r="28" spans="2:7" ht="12.75" customHeight="1" x14ac:dyDescent="0.35"/>
    <row r="29" spans="2:7" ht="12.75" customHeight="1" x14ac:dyDescent="0.35"/>
    <row r="30" spans="2:7" ht="12.75" customHeight="1" x14ac:dyDescent="0.35">
      <c r="C30" s="97" t="s">
        <v>2782</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2783</v>
      </c>
    </row>
    <row r="46" spans="3:10" ht="12.75" customHeight="1" x14ac:dyDescent="0.35"/>
    <row r="47" spans="3:10" ht="12.75" customHeight="1" x14ac:dyDescent="0.35">
      <c r="C47" s="97" t="s">
        <v>2761</v>
      </c>
      <c r="J47" s="97" t="str">
        <f>"Plazo de cálculo: "&amp;FIXED((InvTime+InvTimeMonths/12+InvTime2+InvTimeMonths2/12),1)&amp;" años"</f>
        <v>Plazo de cálculo: 5.3 años</v>
      </c>
    </row>
    <row r="48" spans="3:10" ht="12.75" customHeight="1" x14ac:dyDescent="0.35"/>
    <row r="49" spans="3:6" ht="12.75" customHeight="1" x14ac:dyDescent="0.35"/>
    <row r="50" spans="3:6" ht="12.75" customHeight="1" x14ac:dyDescent="0.35">
      <c r="C50" s="97" t="s">
        <v>2784</v>
      </c>
      <c r="E50" s="1332" t="s">
        <v>6227</v>
      </c>
    </row>
    <row r="51" spans="3:6" ht="12.75" customHeight="1" x14ac:dyDescent="0.35">
      <c r="C51" s="97" t="s">
        <v>2785</v>
      </c>
      <c r="E51" s="1332" t="s">
        <v>6228</v>
      </c>
    </row>
    <row r="52" spans="3:6" ht="12.75" customHeight="1" x14ac:dyDescent="0.35">
      <c r="E52" s="1332" t="s">
        <v>6229</v>
      </c>
    </row>
    <row r="53" spans="3:6" ht="12.75" customHeight="1" x14ac:dyDescent="0.35">
      <c r="E53" s="1332" t="s">
        <v>6230</v>
      </c>
    </row>
    <row r="54" spans="3:6" ht="12.75" customHeight="1" x14ac:dyDescent="0.35"/>
    <row r="55" spans="3:6" ht="12.75" customHeight="1" x14ac:dyDescent="0.35"/>
    <row r="56" spans="3:6" ht="12.75" customHeight="1" x14ac:dyDescent="0.35">
      <c r="C56" s="97" t="s">
        <v>2786</v>
      </c>
    </row>
    <row r="57" spans="3:6" ht="12.75" customHeight="1" x14ac:dyDescent="0.35"/>
    <row r="58" spans="3:6" ht="12.75" customHeight="1" x14ac:dyDescent="0.35">
      <c r="C58" s="97" t="s">
        <v>2787</v>
      </c>
      <c r="E58" s="1332" t="s">
        <v>6345</v>
      </c>
    </row>
    <row r="59" spans="3:6" ht="12.75" customHeight="1" x14ac:dyDescent="0.35">
      <c r="E59" s="1332" t="s">
        <v>6346</v>
      </c>
    </row>
    <row r="60" spans="3:6" ht="12.75" customHeight="1" x14ac:dyDescent="0.35">
      <c r="F60" s="1387" t="s">
        <v>45</v>
      </c>
    </row>
    <row r="61" spans="3:6" ht="12.75" customHeight="1" x14ac:dyDescent="0.35"/>
    <row r="69" spans="3:3" x14ac:dyDescent="0.35">
      <c r="C69" s="97" t="s">
        <v>2788</v>
      </c>
    </row>
  </sheetData>
  <printOptions gridLines="1"/>
  <pageMargins left="0.35433070866141736" right="0.35433070866141736" top="0.78740157480314965" bottom="0.78740157480314965" header="0.51181102362204722" footer="0.51181102362204722"/>
  <pageSetup paperSize="9" fitToWidth="2" orientation="portrait" r:id="rId1"/>
  <headerFooter>
    <oddHeader>&amp;C&amp;A</oddHeader>
    <oddFooter>&amp;CPage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howOutlineSymbols="0"/>
    <pageSetUpPr autoPageBreaks="0"/>
  </sheetPr>
  <dimension ref="A1:T1241"/>
  <sheetViews>
    <sheetView showGridLines="0" showRowColHeaders="0" showOutlineSymbols="0" topLeftCell="A8" zoomScaleNormal="100" workbookViewId="0">
      <pane xSplit="7" ySplit="11" topLeftCell="H19" activePane="bottomRight" state="frozen"/>
      <selection activeCell="A8" sqref="A8"/>
      <selection pane="topRight" activeCell="H8" sqref="H8"/>
      <selection pane="bottomLeft" activeCell="A19" sqref="A19"/>
      <selection pane="bottomRight" activeCell="C19" sqref="C19"/>
    </sheetView>
  </sheetViews>
  <sheetFormatPr defaultColWidth="9.1796875" defaultRowHeight="14.5" x14ac:dyDescent="0.35"/>
  <cols>
    <col min="1" max="1" width="1.7265625" style="218" customWidth="1"/>
    <col min="2" max="2" width="2.453125" style="218" customWidth="1"/>
    <col min="3" max="3" width="34.7265625" style="218" customWidth="1"/>
    <col min="4" max="4" width="9.7265625" style="218" customWidth="1"/>
    <col min="5" max="5" width="6.7265625" style="218" hidden="1" customWidth="1"/>
    <col min="6" max="7" width="10.7265625" style="218" hidden="1" customWidth="1"/>
    <col min="8" max="17" width="10.7265625" style="218" customWidth="1"/>
    <col min="18" max="18" width="0.54296875" style="218" customWidth="1"/>
    <col min="19" max="19" width="0.54296875" style="225" customWidth="1"/>
    <col min="20" max="20" width="9.26953125" style="213" customWidth="1"/>
    <col min="21" max="16384" width="9.1796875" style="213"/>
  </cols>
  <sheetData>
    <row r="1" spans="1:19" ht="11.25" hidden="1" customHeight="1" x14ac:dyDescent="0.35">
      <c r="A1" s="315" t="s">
        <v>36</v>
      </c>
      <c r="B1" s="315" t="s">
        <v>37</v>
      </c>
      <c r="C1" s="315"/>
      <c r="D1" s="316" t="s">
        <v>38</v>
      </c>
      <c r="E1" s="317" t="s">
        <v>39</v>
      </c>
      <c r="F1" s="317">
        <v>12</v>
      </c>
      <c r="G1" s="235">
        <v>9</v>
      </c>
      <c r="H1" s="235">
        <v>9</v>
      </c>
      <c r="I1" s="235">
        <v>10</v>
      </c>
      <c r="J1" s="235">
        <v>11</v>
      </c>
      <c r="K1" s="235">
        <v>12</v>
      </c>
      <c r="L1" s="235">
        <v>12</v>
      </c>
      <c r="M1" s="235">
        <v>12</v>
      </c>
      <c r="N1" s="235">
        <v>12</v>
      </c>
      <c r="O1" s="235">
        <v>12</v>
      </c>
      <c r="P1" s="235">
        <v>12</v>
      </c>
      <c r="Q1" s="235">
        <f ca="1">OFFSET(Q1,0,-1)</f>
        <v>12</v>
      </c>
      <c r="R1" s="318" t="b">
        <f ca="1">IF(ISNA(MATCH("  ",$R$17:$R$1234,0)),FALSE,TRUE)</f>
        <v>0</v>
      </c>
      <c r="S1" s="319" t="s">
        <v>40</v>
      </c>
    </row>
    <row r="2" spans="1:19" ht="11.25" hidden="1" customHeight="1" x14ac:dyDescent="0.35">
      <c r="A2" s="315"/>
      <c r="B2" s="315" t="s">
        <v>41</v>
      </c>
      <c r="C2" s="320" t="s">
        <v>42</v>
      </c>
      <c r="D2" s="320" t="s">
        <v>42</v>
      </c>
      <c r="E2" s="317" t="s">
        <v>39</v>
      </c>
      <c r="F2" s="317">
        <v>12</v>
      </c>
      <c r="G2" s="235">
        <v>9</v>
      </c>
      <c r="H2" s="235">
        <v>9</v>
      </c>
      <c r="I2" s="235">
        <v>12</v>
      </c>
      <c r="J2" s="235">
        <v>12</v>
      </c>
      <c r="K2" s="235">
        <v>12</v>
      </c>
      <c r="L2" s="235">
        <v>12</v>
      </c>
      <c r="M2" s="235">
        <v>12</v>
      </c>
      <c r="N2" s="235">
        <v>12</v>
      </c>
      <c r="O2" s="235">
        <v>12</v>
      </c>
      <c r="P2" s="235">
        <v>12</v>
      </c>
      <c r="Q2" s="235">
        <f ca="1">OFFSET(Q2,0,-1)</f>
        <v>12</v>
      </c>
      <c r="R2" s="321"/>
      <c r="S2" s="319" t="s">
        <v>40</v>
      </c>
    </row>
    <row r="3" spans="1:19" ht="11.25" hidden="1" customHeight="1" x14ac:dyDescent="0.35">
      <c r="A3" s="315"/>
      <c r="B3" s="315" t="s">
        <v>43</v>
      </c>
      <c r="C3" s="322" t="s">
        <v>39</v>
      </c>
      <c r="D3" s="322" t="s">
        <v>39</v>
      </c>
      <c r="E3" s="317" t="s">
        <v>39</v>
      </c>
      <c r="F3" s="317">
        <f>InvYear-1</f>
        <v>2018</v>
      </c>
      <c r="G3" s="235">
        <v>2019</v>
      </c>
      <c r="H3" s="235">
        <v>2019</v>
      </c>
      <c r="I3" s="235">
        <v>2019</v>
      </c>
      <c r="J3" s="235">
        <v>2019</v>
      </c>
      <c r="K3" s="235">
        <v>2019</v>
      </c>
      <c r="L3" s="235">
        <v>2020</v>
      </c>
      <c r="M3" s="235">
        <v>2021</v>
      </c>
      <c r="N3" s="235">
        <v>2022</v>
      </c>
      <c r="O3" s="235">
        <v>2023</v>
      </c>
      <c r="P3" s="235">
        <v>2024</v>
      </c>
      <c r="Q3" s="235">
        <f ca="1">OFFSET(Q3,0,-1)</f>
        <v>2024</v>
      </c>
      <c r="R3" s="321"/>
      <c r="S3" s="319" t="s">
        <v>40</v>
      </c>
    </row>
    <row r="4" spans="1:19" ht="11.25" hidden="1" customHeight="1" x14ac:dyDescent="0.35">
      <c r="A4" s="315"/>
      <c r="B4" s="315" t="s">
        <v>44</v>
      </c>
      <c r="C4" s="323" t="s">
        <v>45</v>
      </c>
      <c r="D4" s="322" t="s">
        <v>46</v>
      </c>
      <c r="E4" s="317" t="s">
        <v>39</v>
      </c>
      <c r="F4" s="317"/>
      <c r="G4" s="235">
        <f t="shared" ref="G4:L4" ca="1" si="0">IF(G3=Year1,_Tax1,IF(G3=Year2,_Tax2,IF(G3=Year3,_Tax3,IF(G3=Year4,_Tax4,_Tax5))))/100</f>
        <v>0.28000000000000003</v>
      </c>
      <c r="H4" s="235">
        <f t="shared" ca="1" si="0"/>
        <v>0.28000000000000003</v>
      </c>
      <c r="I4" s="235">
        <f t="shared" ca="1" si="0"/>
        <v>0.28000000000000003</v>
      </c>
      <c r="J4" s="235">
        <f t="shared" ca="1" si="0"/>
        <v>0.28000000000000003</v>
      </c>
      <c r="K4" s="235">
        <f t="shared" ca="1" si="0"/>
        <v>0.28000000000000003</v>
      </c>
      <c r="L4" s="235">
        <f t="shared" ca="1" si="0"/>
        <v>0.28000000000000003</v>
      </c>
      <c r="M4" s="235">
        <f t="shared" ref="M4:N4" ca="1" si="1">IF(M3=Year1,_Tax1,IF(M3=Year2,_Tax2,IF(M3=Year3,_Tax3,IF(M3=Year4,_Tax4,_Tax5))))/100</f>
        <v>0.28000000000000003</v>
      </c>
      <c r="N4" s="235">
        <f t="shared" ca="1" si="1"/>
        <v>0.28000000000000003</v>
      </c>
      <c r="O4" s="235">
        <f t="shared" ref="O4:P4" ca="1" si="2">IF(O3=Year1,_Tax1,IF(O3=Year2,_Tax2,IF(O3=Year3,_Tax3,IF(O3=Year4,_Tax4,_Tax5))))/100</f>
        <v>0.28000000000000003</v>
      </c>
      <c r="P4" s="235">
        <f t="shared" ca="1" si="2"/>
        <v>0.28000000000000003</v>
      </c>
      <c r="Q4" s="235">
        <f ca="1">OFFSET(Q4,0,-1)</f>
        <v>0.28000000000000003</v>
      </c>
      <c r="R4" s="321"/>
      <c r="S4" s="319" t="s">
        <v>40</v>
      </c>
    </row>
    <row r="5" spans="1:19" ht="11.25" hidden="1" customHeight="1" x14ac:dyDescent="0.35">
      <c r="A5" s="315"/>
      <c r="B5" s="315" t="s">
        <v>47</v>
      </c>
      <c r="C5" s="315"/>
      <c r="D5" s="322" t="s">
        <v>48</v>
      </c>
      <c r="E5" s="317" t="s">
        <v>39</v>
      </c>
      <c r="F5" s="317">
        <v>-1</v>
      </c>
      <c r="G5" s="235">
        <v>0</v>
      </c>
      <c r="H5" s="235">
        <v>1</v>
      </c>
      <c r="I5" s="235">
        <v>2</v>
      </c>
      <c r="J5" s="235">
        <v>3</v>
      </c>
      <c r="K5" s="235">
        <v>4</v>
      </c>
      <c r="L5" s="235">
        <v>5</v>
      </c>
      <c r="M5" s="235">
        <v>6</v>
      </c>
      <c r="N5" s="235">
        <v>7</v>
      </c>
      <c r="O5" s="235">
        <v>8</v>
      </c>
      <c r="P5" s="235">
        <v>9</v>
      </c>
      <c r="Q5" s="235">
        <v>-99</v>
      </c>
      <c r="R5" s="321"/>
      <c r="S5" s="319" t="s">
        <v>40</v>
      </c>
    </row>
    <row r="6" spans="1:19" ht="11.25" hidden="1" customHeight="1" x14ac:dyDescent="0.35">
      <c r="A6" s="315"/>
      <c r="B6" s="315" t="s">
        <v>49</v>
      </c>
      <c r="C6" s="315"/>
      <c r="D6" s="323" t="s">
        <v>45</v>
      </c>
      <c r="E6" s="324" t="s">
        <v>50</v>
      </c>
      <c r="F6" s="325" t="str">
        <f t="shared" ref="F6:Q6" si="3">TEXT(F1,"00")&amp;TEXT(F2,"00")&amp;TEXT(FinMonth,"00")&amp;F3</f>
        <v>1212122018</v>
      </c>
      <c r="G6" s="325" t="s">
        <v>6383</v>
      </c>
      <c r="H6" s="325" t="s">
        <v>6383</v>
      </c>
      <c r="I6" s="325" t="s">
        <v>6385</v>
      </c>
      <c r="J6" s="325" t="s">
        <v>6387</v>
      </c>
      <c r="K6" s="325" t="s">
        <v>6218</v>
      </c>
      <c r="L6" s="325" t="s">
        <v>6220</v>
      </c>
      <c r="M6" s="325" t="s">
        <v>6222</v>
      </c>
      <c r="N6" s="325" t="s">
        <v>6224</v>
      </c>
      <c r="O6" s="325" t="s">
        <v>6389</v>
      </c>
      <c r="P6" s="325" t="s">
        <v>6391</v>
      </c>
      <c r="Q6" s="325" t="str">
        <f t="shared" ca="1" si="3"/>
        <v>1212122024</v>
      </c>
      <c r="R6" s="321"/>
      <c r="S6" s="319" t="s">
        <v>40</v>
      </c>
    </row>
    <row r="7" spans="1:19" ht="11.25" hidden="1" customHeight="1" x14ac:dyDescent="0.35">
      <c r="A7" s="326"/>
      <c r="B7" s="327" t="s">
        <v>51</v>
      </c>
      <c r="C7" s="327"/>
      <c r="D7" s="328">
        <f>IF(ISNA(MATCH(1,E7:Q7,0)),IF(ISNA(MATCH(2,E7:Q7,0)),2,MATCH(2,E7:Q7,0)),MATCH(1,E7:Q7,0))+4</f>
        <v>7</v>
      </c>
      <c r="E7" s="317" t="s">
        <v>39</v>
      </c>
      <c r="F7" s="329">
        <f>9</f>
        <v>9</v>
      </c>
      <c r="G7" s="330">
        <f>1</f>
        <v>1</v>
      </c>
      <c r="H7" s="330">
        <f>1</f>
        <v>1</v>
      </c>
      <c r="I7" s="330">
        <f>1</f>
        <v>1</v>
      </c>
      <c r="J7" s="330">
        <f>1</f>
        <v>1</v>
      </c>
      <c r="K7" s="330">
        <f>1</f>
        <v>1</v>
      </c>
      <c r="L7" s="330">
        <f>2</f>
        <v>2</v>
      </c>
      <c r="M7" s="330">
        <f>2</f>
        <v>2</v>
      </c>
      <c r="N7" s="330">
        <f>2</f>
        <v>2</v>
      </c>
      <c r="O7" s="330">
        <f>2</f>
        <v>2</v>
      </c>
      <c r="P7" s="330">
        <f>2</f>
        <v>2</v>
      </c>
      <c r="Q7" s="330">
        <f ca="1">OFFSET(Q7,0,-1)</f>
        <v>2</v>
      </c>
      <c r="R7" s="321"/>
      <c r="S7" s="319" t="s">
        <v>40</v>
      </c>
    </row>
    <row r="8" spans="1:19" ht="11.25" customHeight="1" x14ac:dyDescent="0.35">
      <c r="A8" s="235"/>
      <c r="B8" s="331" t="s">
        <v>52</v>
      </c>
      <c r="C8" s="235"/>
      <c r="D8" s="235"/>
      <c r="E8" s="324" t="s">
        <v>53</v>
      </c>
      <c r="F8" s="332">
        <f t="shared" ref="F8:Q8" si="4">COLUMN(F8)-COLUMN($E8)</f>
        <v>1</v>
      </c>
      <c r="G8" s="332">
        <f t="shared" si="4"/>
        <v>2</v>
      </c>
      <c r="H8" s="332">
        <f t="shared" si="4"/>
        <v>3</v>
      </c>
      <c r="I8" s="332">
        <f t="shared" si="4"/>
        <v>4</v>
      </c>
      <c r="J8" s="332">
        <f t="shared" si="4"/>
        <v>5</v>
      </c>
      <c r="K8" s="332">
        <f t="shared" si="4"/>
        <v>6</v>
      </c>
      <c r="L8" s="332">
        <f t="shared" si="4"/>
        <v>7</v>
      </c>
      <c r="M8" s="332">
        <f t="shared" si="4"/>
        <v>8</v>
      </c>
      <c r="N8" s="332">
        <f t="shared" si="4"/>
        <v>9</v>
      </c>
      <c r="O8" s="332">
        <f t="shared" si="4"/>
        <v>10</v>
      </c>
      <c r="P8" s="332">
        <f t="shared" si="4"/>
        <v>11</v>
      </c>
      <c r="Q8" s="332">
        <f t="shared" si="4"/>
        <v>12</v>
      </c>
      <c r="R8" s="321"/>
      <c r="S8" s="319" t="s">
        <v>54</v>
      </c>
    </row>
    <row r="9" spans="1:19" ht="12" customHeight="1" x14ac:dyDescent="0.35">
      <c r="A9" s="235"/>
      <c r="B9" s="235"/>
      <c r="C9" s="235"/>
      <c r="D9" s="235"/>
      <c r="E9" s="324" t="s">
        <v>55</v>
      </c>
      <c r="F9" s="317"/>
      <c r="G9" s="235"/>
      <c r="H9" s="235"/>
      <c r="I9" s="235"/>
      <c r="J9" s="235"/>
      <c r="K9" s="235"/>
      <c r="L9" s="235"/>
      <c r="M9" s="235"/>
      <c r="N9" s="235"/>
      <c r="O9" s="235"/>
      <c r="P9" s="235"/>
      <c r="Q9" s="235"/>
      <c r="R9" s="321"/>
      <c r="S9" s="319" t="s">
        <v>54</v>
      </c>
    </row>
    <row r="10" spans="1:19" ht="15" hidden="1" customHeight="1" x14ac:dyDescent="0.35">
      <c r="A10" s="235"/>
      <c r="B10" s="235"/>
      <c r="C10" s="235"/>
      <c r="D10" s="235"/>
      <c r="E10" s="324" t="s">
        <v>39</v>
      </c>
      <c r="F10" s="324"/>
      <c r="G10" s="333"/>
      <c r="H10" s="333"/>
      <c r="I10" s="333"/>
      <c r="J10" s="333"/>
      <c r="K10" s="333"/>
      <c r="L10" s="333"/>
      <c r="M10" s="333"/>
      <c r="N10" s="333"/>
      <c r="O10" s="333"/>
      <c r="P10" s="333"/>
      <c r="Q10" s="333"/>
      <c r="R10" s="321"/>
      <c r="S10" s="319" t="s">
        <v>56</v>
      </c>
    </row>
    <row r="11" spans="1:19" ht="11.25" hidden="1" customHeight="1" x14ac:dyDescent="0.35">
      <c r="A11" s="235"/>
      <c r="B11" s="334" t="s">
        <v>57</v>
      </c>
      <c r="C11" s="335"/>
      <c r="D11" s="336"/>
      <c r="E11" s="337" t="s">
        <v>58</v>
      </c>
      <c r="F11" s="950" t="str">
        <f t="shared" ref="F11:Q11" si="5">F16</f>
        <v>12/2018</v>
      </c>
      <c r="G11" s="951" t="str">
        <f t="shared" si="5"/>
        <v>9/2019</v>
      </c>
      <c r="H11" s="952" t="str">
        <f t="shared" si="5"/>
        <v>9/2019</v>
      </c>
      <c r="I11" s="952" t="str">
        <f t="shared" si="5"/>
        <v>10/2019</v>
      </c>
      <c r="J11" s="952" t="str">
        <f t="shared" si="5"/>
        <v>11/2019</v>
      </c>
      <c r="K11" s="952" t="str">
        <f t="shared" si="5"/>
        <v>12/2019</v>
      </c>
      <c r="L11" s="952" t="str">
        <f t="shared" si="5"/>
        <v>12/2020</v>
      </c>
      <c r="M11" s="952" t="str">
        <f t="shared" ref="M11:N11" si="6">M16</f>
        <v>12/2021</v>
      </c>
      <c r="N11" s="952" t="str">
        <f t="shared" si="6"/>
        <v>12/2022</v>
      </c>
      <c r="O11" s="952" t="str">
        <f t="shared" ref="O11:P11" si="7">O16</f>
        <v>12/2023</v>
      </c>
      <c r="P11" s="952" t="str">
        <f t="shared" si="7"/>
        <v>12/2024</v>
      </c>
      <c r="Q11" s="947" t="str">
        <f t="shared" ca="1" si="5"/>
        <v>Residual</v>
      </c>
      <c r="R11" s="321"/>
      <c r="S11" s="319" t="s">
        <v>56</v>
      </c>
    </row>
    <row r="12" spans="1:19" ht="11.25" hidden="1" customHeight="1" x14ac:dyDescent="0.35">
      <c r="A12" s="235"/>
      <c r="B12" s="341" t="s">
        <v>59</v>
      </c>
      <c r="C12" s="342"/>
      <c r="D12" s="343"/>
      <c r="E12" s="337" t="s">
        <v>60</v>
      </c>
      <c r="F12" s="953">
        <f>F$17</f>
        <v>12</v>
      </c>
      <c r="G12" s="954"/>
      <c r="H12" s="954">
        <f t="shared" ref="H12:P12" si="8">H$17</f>
        <v>1</v>
      </c>
      <c r="I12" s="954">
        <f t="shared" si="8"/>
        <v>1</v>
      </c>
      <c r="J12" s="954">
        <f t="shared" si="8"/>
        <v>1</v>
      </c>
      <c r="K12" s="954">
        <f t="shared" si="8"/>
        <v>1</v>
      </c>
      <c r="L12" s="954">
        <f t="shared" si="8"/>
        <v>12</v>
      </c>
      <c r="M12" s="954">
        <f t="shared" si="8"/>
        <v>12</v>
      </c>
      <c r="N12" s="954">
        <f t="shared" si="8"/>
        <v>12</v>
      </c>
      <c r="O12" s="954">
        <f t="shared" si="8"/>
        <v>12</v>
      </c>
      <c r="P12" s="954">
        <f t="shared" si="8"/>
        <v>12</v>
      </c>
      <c r="Q12" s="948"/>
      <c r="R12" s="321"/>
      <c r="S12" s="319" t="s">
        <v>61</v>
      </c>
    </row>
    <row r="13" spans="1:19" ht="15" hidden="1" customHeight="1" x14ac:dyDescent="0.35">
      <c r="A13" s="235"/>
      <c r="B13" s="344" t="s">
        <v>62</v>
      </c>
      <c r="C13" s="345"/>
      <c r="D13" s="346"/>
      <c r="E13" s="345" t="s">
        <v>63</v>
      </c>
      <c r="F13" s="955"/>
      <c r="G13" s="956"/>
      <c r="H13" s="956"/>
      <c r="I13" s="956"/>
      <c r="J13" s="956"/>
      <c r="K13" s="956"/>
      <c r="L13" s="956"/>
      <c r="M13" s="956"/>
      <c r="N13" s="956"/>
      <c r="O13" s="956"/>
      <c r="P13" s="956"/>
      <c r="Q13" s="949"/>
      <c r="R13" s="321" t="str">
        <f>IF(MID(S13,7,1)="D","  ","")</f>
        <v/>
      </c>
      <c r="S13" s="319" t="s">
        <v>56</v>
      </c>
    </row>
    <row r="14" spans="1:19" ht="5.15" hidden="1" customHeight="1" x14ac:dyDescent="0.35">
      <c r="A14" s="235"/>
      <c r="B14" s="347"/>
      <c r="C14" s="348"/>
      <c r="D14" s="348"/>
      <c r="E14" s="349" t="s">
        <v>39</v>
      </c>
      <c r="F14" s="348"/>
      <c r="G14" s="331">
        <f ca="1">G15*IF(IF(G$5=-99,OFFSET(G$5,0,-1),G$5)&lt;=CalcPoint,IF(DontCompound=1,1,(1+IF(VariableRate=1,G$1062,DiscMonth))^G$1064),1/((1+IF(VariableRate=1,G$1062,DiscMonth))^G$1064))</f>
        <v>0</v>
      </c>
      <c r="H14" s="331">
        <f t="shared" ref="H14:Q14" ca="1" si="9">H15*IF(IF(H$5=-99,OFFSET(H$5,0,-1),H$5)&lt;=CalcPoint,IF(DontCompound=1,1,(1+IF(VariableRate=1,H$1062,DiscMonth))^H$1064),1/((1+IF(VariableRate=1,H$1062,DiscMonth))^H$1064))</f>
        <v>-1496612.746838467</v>
      </c>
      <c r="I14" s="331">
        <f t="shared" ca="1" si="9"/>
        <v>-497744.38088875136</v>
      </c>
      <c r="J14" s="331">
        <f t="shared" ca="1" si="9"/>
        <v>-347634.27304915222</v>
      </c>
      <c r="K14" s="331">
        <f t="shared" ca="1" si="9"/>
        <v>-346849.2561888569</v>
      </c>
      <c r="L14" s="331">
        <f t="shared" ca="1" si="9"/>
        <v>0</v>
      </c>
      <c r="M14" s="331">
        <f t="shared" ca="1" si="9"/>
        <v>-84479.546045100287</v>
      </c>
      <c r="N14" s="331">
        <f t="shared" ca="1" si="9"/>
        <v>0</v>
      </c>
      <c r="O14" s="331">
        <f t="shared" ca="1" si="9"/>
        <v>-40009.020095831867</v>
      </c>
      <c r="P14" s="331">
        <f t="shared" ca="1" si="9"/>
        <v>0</v>
      </c>
      <c r="Q14" s="331">
        <f t="shared" ca="1" si="9"/>
        <v>0</v>
      </c>
      <c r="R14" s="321"/>
      <c r="S14" s="319" t="s">
        <v>56</v>
      </c>
    </row>
    <row r="15" spans="1:19" ht="16" customHeight="1" x14ac:dyDescent="0.35">
      <c r="A15" s="235"/>
      <c r="B15" s="350" t="s">
        <v>64</v>
      </c>
      <c r="C15" s="235"/>
      <c r="D15" s="235"/>
      <c r="E15" s="324" t="s">
        <v>65</v>
      </c>
      <c r="F15" s="317"/>
      <c r="G15" s="331">
        <f>IF(OR(AND(G$5=0,NoZeroCol=1),AND(G$5=-99,NoResCol=1)),0,SUM(G$993:G$1000)+G$1017)</f>
        <v>0</v>
      </c>
      <c r="H15" s="331">
        <f t="shared" ref="H15:Q15" ca="1" si="10">IF(OR(AND(H$5=0,NoZeroCol=1),AND(H$5=-99,NoResCol=1)),0,SUM(H$993:H$1000)+H$1017)</f>
        <v>-1500000</v>
      </c>
      <c r="I15" s="331">
        <f t="shared" ca="1" si="10"/>
        <v>-500000</v>
      </c>
      <c r="J15" s="331">
        <f t="shared" ca="1" si="10"/>
        <v>-350000</v>
      </c>
      <c r="K15" s="331">
        <f t="shared" ca="1" si="10"/>
        <v>-350000</v>
      </c>
      <c r="L15" s="331">
        <f t="shared" ca="1" si="10"/>
        <v>0</v>
      </c>
      <c r="M15" s="331">
        <f t="shared" ca="1" si="10"/>
        <v>-90000</v>
      </c>
      <c r="N15" s="331">
        <f t="shared" ca="1" si="10"/>
        <v>0</v>
      </c>
      <c r="O15" s="331">
        <f t="shared" ca="1" si="10"/>
        <v>-45000</v>
      </c>
      <c r="P15" s="331">
        <f t="shared" ca="1" si="10"/>
        <v>0</v>
      </c>
      <c r="Q15" s="331">
        <f t="shared" si="10"/>
        <v>0</v>
      </c>
      <c r="R15" s="321"/>
      <c r="S15" s="319" t="s">
        <v>66</v>
      </c>
    </row>
    <row r="16" spans="1:19" ht="11.25" customHeight="1" x14ac:dyDescent="0.35">
      <c r="A16" s="351"/>
      <c r="B16" s="334" t="str">
        <f>IF(PrintMode=0,"      ","")&amp;IF(Figures&gt;1,Figures&amp;" ","")&amp;Currency</f>
        <v xml:space="preserve">      Euro</v>
      </c>
      <c r="C16" s="335" t="str">
        <f>""&amp;$B$325</f>
        <v>Imputed depreciation</v>
      </c>
      <c r="D16" s="1104"/>
      <c r="E16" s="337" t="s">
        <v>68</v>
      </c>
      <c r="F16" s="950" t="str">
        <f t="shared" ref="F16:P16" si="11">IF(AND(F$1&lt;&gt;0,F$3&gt;1900),F$1&amp;"/"&amp;F$3,"")</f>
        <v>12/2018</v>
      </c>
      <c r="G16" s="951" t="str">
        <f t="shared" si="11"/>
        <v>9/2019</v>
      </c>
      <c r="H16" s="952" t="str">
        <f t="shared" si="11"/>
        <v>9/2019</v>
      </c>
      <c r="I16" s="952" t="str">
        <f t="shared" si="11"/>
        <v>10/2019</v>
      </c>
      <c r="J16" s="952" t="str">
        <f t="shared" si="11"/>
        <v>11/2019</v>
      </c>
      <c r="K16" s="952" t="str">
        <f t="shared" si="11"/>
        <v>12/2019</v>
      </c>
      <c r="L16" s="952" t="str">
        <f t="shared" si="11"/>
        <v>12/2020</v>
      </c>
      <c r="M16" s="952" t="str">
        <f t="shared" si="11"/>
        <v>12/2021</v>
      </c>
      <c r="N16" s="952" t="str">
        <f t="shared" si="11"/>
        <v>12/2022</v>
      </c>
      <c r="O16" s="952" t="str">
        <f t="shared" si="11"/>
        <v>12/2023</v>
      </c>
      <c r="P16" s="952" t="str">
        <f t="shared" si="11"/>
        <v>12/2024</v>
      </c>
      <c r="Q16" s="947" t="str">
        <f ca="1">ResidualTxt</f>
        <v>Residual</v>
      </c>
      <c r="R16" s="321"/>
      <c r="S16" s="319" t="s">
        <v>66</v>
      </c>
    </row>
    <row r="17" spans="1:19" ht="11.25" customHeight="1" x14ac:dyDescent="0.35">
      <c r="A17" s="351"/>
      <c r="B17" s="352" t="s">
        <v>59</v>
      </c>
      <c r="C17" s="342"/>
      <c r="D17" s="1184" t="s">
        <v>69</v>
      </c>
      <c r="E17" s="337" t="s">
        <v>70</v>
      </c>
      <c r="F17" s="953">
        <f>12</f>
        <v>12</v>
      </c>
      <c r="G17" s="954"/>
      <c r="H17" s="954">
        <f>1</f>
        <v>1</v>
      </c>
      <c r="I17" s="954">
        <f>1</f>
        <v>1</v>
      </c>
      <c r="J17" s="954">
        <f>1</f>
        <v>1</v>
      </c>
      <c r="K17" s="954">
        <f>1</f>
        <v>1</v>
      </c>
      <c r="L17" s="954">
        <f>12</f>
        <v>12</v>
      </c>
      <c r="M17" s="954">
        <f>12</f>
        <v>12</v>
      </c>
      <c r="N17" s="954">
        <f>12</f>
        <v>12</v>
      </c>
      <c r="O17" s="954">
        <f>12</f>
        <v>12</v>
      </c>
      <c r="P17" s="954">
        <f>12</f>
        <v>12</v>
      </c>
      <c r="Q17" s="948" t="str">
        <f ca="1">"("&amp;OFFSET(Q17,-1,-1)&amp;")"</f>
        <v>(12/2024)</v>
      </c>
      <c r="R17" s="321"/>
      <c r="S17" s="319" t="s">
        <v>71</v>
      </c>
    </row>
    <row r="18" spans="1:19" ht="11.25" hidden="1" customHeight="1" x14ac:dyDescent="0.35">
      <c r="A18" s="353">
        <v>0</v>
      </c>
      <c r="B18" s="354"/>
      <c r="C18" s="355"/>
      <c r="D18" s="1184"/>
      <c r="E18" s="1180" t="s">
        <v>72</v>
      </c>
      <c r="F18" s="317"/>
      <c r="G18" s="356"/>
      <c r="H18" s="356"/>
      <c r="I18" s="356"/>
      <c r="J18" s="356"/>
      <c r="K18" s="356"/>
      <c r="L18" s="356"/>
      <c r="M18" s="356"/>
      <c r="N18" s="356"/>
      <c r="O18" s="356"/>
      <c r="P18" s="356"/>
      <c r="Q18" s="356"/>
      <c r="R18" s="321"/>
      <c r="S18" s="319" t="s">
        <v>73</v>
      </c>
    </row>
    <row r="19" spans="1:19" ht="11.25" customHeight="1" x14ac:dyDescent="0.35">
      <c r="A19" s="357" t="s">
        <v>74</v>
      </c>
      <c r="B19" s="358">
        <v>1</v>
      </c>
      <c r="C19" s="359" t="s">
        <v>6393</v>
      </c>
      <c r="D19" s="1185"/>
      <c r="E19" s="380" t="s">
        <v>75</v>
      </c>
      <c r="F19" s="959"/>
      <c r="G19" s="960"/>
      <c r="H19" s="960">
        <v>-1000000</v>
      </c>
      <c r="I19" s="960"/>
      <c r="J19" s="960"/>
      <c r="K19" s="960"/>
      <c r="L19" s="960"/>
      <c r="M19" s="960"/>
      <c r="N19" s="960"/>
      <c r="O19" s="960"/>
      <c r="P19" s="960"/>
      <c r="Q19" s="957">
        <v>100000</v>
      </c>
      <c r="R19" s="321" t="str">
        <f>IF(MID(S19,7,1)="D","  ","")</f>
        <v/>
      </c>
      <c r="S19" s="319" t="s">
        <v>71</v>
      </c>
    </row>
    <row r="20" spans="1:19" ht="11.25" customHeight="1" x14ac:dyDescent="0.35">
      <c r="A20" s="357" t="s">
        <v>76</v>
      </c>
      <c r="B20" s="360" t="s">
        <v>6247</v>
      </c>
      <c r="C20" s="361" t="str">
        <f ca="1">SpecsTxt!$G$12&amp;" "&amp;B20</f>
        <v>Depreciation (declining balance)</v>
      </c>
      <c r="D20" s="1186">
        <v>25</v>
      </c>
      <c r="E20" s="385" t="s">
        <v>78</v>
      </c>
      <c r="F20" s="961"/>
      <c r="G20" s="1378"/>
      <c r="H20" s="1378"/>
      <c r="I20" s="1378">
        <f>-20833.3333333333*-$H$19/1000000</f>
        <v>-20833.333333333299</v>
      </c>
      <c r="J20" s="1378">
        <f>-20833.3333333333*-$H$19/1000000</f>
        <v>-20833.333333333299</v>
      </c>
      <c r="K20" s="1378">
        <f>-20833.3333333333*-$H$19/1000000</f>
        <v>-20833.333333333299</v>
      </c>
      <c r="L20" s="1378">
        <f>-234375*-$H$19/1000000</f>
        <v>-234375</v>
      </c>
      <c r="M20" s="1378">
        <f>-175781.25*-$H$19/1000000</f>
        <v>-175781.25</v>
      </c>
      <c r="N20" s="1378">
        <f>-131835.9375*-$H$19/1000000</f>
        <v>-131835.9375</v>
      </c>
      <c r="O20" s="1378">
        <f>-98876.953125*-$H$19/1000000</f>
        <v>-98876.953125</v>
      </c>
      <c r="P20" s="1378">
        <f>-74157.71484375*-$H$19/1000000</f>
        <v>-74157.71484375</v>
      </c>
      <c r="Q20" s="407"/>
      <c r="R20" s="321" t="str">
        <f>IF(MID(S20,7,1)="D","  ","")</f>
        <v/>
      </c>
      <c r="S20" s="319" t="s">
        <v>71</v>
      </c>
    </row>
    <row r="21" spans="1:19" ht="11.25" customHeight="1" x14ac:dyDescent="0.35">
      <c r="A21" s="357" t="s">
        <v>79</v>
      </c>
      <c r="B21" s="363">
        <v>1</v>
      </c>
      <c r="C21" s="364" t="s">
        <v>80</v>
      </c>
      <c r="D21" s="1187"/>
      <c r="E21" s="385" t="s">
        <v>81</v>
      </c>
      <c r="F21" s="961"/>
      <c r="G21" s="962">
        <f ca="1">IF(OR(AND(G$5=0,NoZeroCol=1),AND(G$5=-99,NoResCol=1)),IF(G$5=0,OFFSET(InvInfo,$B19,0),SUM(OFFSET(G21,0,-1))),IF(G$5=0,OFFSET(InvInfo,$B19,0),SUM(OFFSET(G21,0,-1)))-OFFSET(G21,-2,0)+OFFSET(G21,-1,0)+G23)+IF(OFFSET(InvInfo,$B19,3)=1,OFFSET($E$933,$B19-1,G$8)-OFFSET($E$933,$B19-1,G$8-1),0)+IF(AND(OFFSET(InvInfo,$B19,4)=1,G$5=OFFSET(InvInfo,$B19,5)),$C22,0)+G$1175</f>
        <v>0</v>
      </c>
      <c r="H21" s="962">
        <f t="shared" ref="H21:Q21" ca="1" si="12">IF(OR(AND(H$5=0,NoZeroCol=1),AND(H$5=-99,NoResCol=1)),IF(H$5=0,OFFSET(InvInfo,$B19,0),SUM(OFFSET(H21,0,-1))),IF(H$5=0,OFFSET(InvInfo,$B19,0),SUM(OFFSET(H21,0,-1)))-OFFSET(H21,-2,0)+OFFSET(H21,-1,0)+H23)+IF(OFFSET(InvInfo,$B19,3)=1,OFFSET($E$933,$B19-1,H$8)-OFFSET($E$933,$B19-1,H$8-1),0)+IF(AND(OFFSET(InvInfo,$B19,4)=1,H$5=OFFSET(InvInfo,$B19,5)),$C22,0)+H$1175</f>
        <v>1000000</v>
      </c>
      <c r="I21" s="962">
        <f t="shared" ca="1" si="12"/>
        <v>979166.66666666674</v>
      </c>
      <c r="J21" s="962">
        <f t="shared" ca="1" si="12"/>
        <v>958333.33333333349</v>
      </c>
      <c r="K21" s="962">
        <f t="shared" ca="1" si="12"/>
        <v>937500.00000000023</v>
      </c>
      <c r="L21" s="962">
        <f t="shared" ca="1" si="12"/>
        <v>703125.00000000023</v>
      </c>
      <c r="M21" s="962">
        <f t="shared" ca="1" si="12"/>
        <v>527343.75000000023</v>
      </c>
      <c r="N21" s="962">
        <f t="shared" ca="1" si="12"/>
        <v>395507.81250000023</v>
      </c>
      <c r="O21" s="962">
        <f t="shared" ca="1" si="12"/>
        <v>296630.85937500023</v>
      </c>
      <c r="P21" s="962">
        <f t="shared" ca="1" si="12"/>
        <v>222473.14453125023</v>
      </c>
      <c r="Q21" s="407">
        <f t="shared" ca="1" si="12"/>
        <v>0</v>
      </c>
      <c r="R21" s="321" t="str">
        <f>IF(MID(S21,7,1)="D","  ","")</f>
        <v/>
      </c>
      <c r="S21" s="319" t="s">
        <v>82</v>
      </c>
    </row>
    <row r="22" spans="1:19" ht="11.25" hidden="1" customHeight="1" x14ac:dyDescent="0.35">
      <c r="A22" s="357" t="s">
        <v>83</v>
      </c>
      <c r="B22" s="365">
        <v>1</v>
      </c>
      <c r="C22" s="366">
        <v>0</v>
      </c>
      <c r="D22" s="1188">
        <v>1</v>
      </c>
      <c r="E22" s="1181" t="s">
        <v>84</v>
      </c>
      <c r="F22" s="367"/>
      <c r="G22" s="368"/>
      <c r="H22" s="368"/>
      <c r="I22" s="368"/>
      <c r="J22" s="368"/>
      <c r="K22" s="368"/>
      <c r="L22" s="368"/>
      <c r="M22" s="368"/>
      <c r="N22" s="368"/>
      <c r="O22" s="368"/>
      <c r="P22" s="368"/>
      <c r="Q22" s="368">
        <f ca="1">OFFSET(Q21,-2,0)</f>
        <v>100000</v>
      </c>
      <c r="R22" s="321"/>
      <c r="S22" s="319" t="s">
        <v>40</v>
      </c>
    </row>
    <row r="23" spans="1:19" ht="11.25" hidden="1" customHeight="1" x14ac:dyDescent="0.35">
      <c r="A23" s="357" t="s">
        <v>85</v>
      </c>
      <c r="B23" s="360">
        <v>2</v>
      </c>
      <c r="C23" s="369" t="s">
        <v>6246</v>
      </c>
      <c r="D23" s="1189">
        <v>1</v>
      </c>
      <c r="E23" s="1182" t="s">
        <v>86</v>
      </c>
      <c r="F23" s="370"/>
      <c r="G23" s="371"/>
      <c r="H23" s="371"/>
      <c r="I23" s="371"/>
      <c r="J23" s="371"/>
      <c r="K23" s="371"/>
      <c r="L23" s="371"/>
      <c r="M23" s="371"/>
      <c r="N23" s="371"/>
      <c r="O23" s="371"/>
      <c r="P23" s="371"/>
      <c r="Q23" s="371">
        <f ca="1">IF(NOT(ISBLANK(OFFSET(Q21,-2,0))),OFFSET(Q21,-2,0)-OFFSET(Q21,0,-1),0)</f>
        <v>-122473.14453125023</v>
      </c>
      <c r="R23" s="321"/>
      <c r="S23" s="319" t="s">
        <v>40</v>
      </c>
    </row>
    <row r="24" spans="1:19" ht="11.25" hidden="1" customHeight="1" x14ac:dyDescent="0.35">
      <c r="A24" s="357" t="s">
        <v>87</v>
      </c>
      <c r="B24" s="360" t="s">
        <v>77</v>
      </c>
      <c r="C24" s="372" t="str">
        <f>$C$16&amp;" "&amp;B24</f>
        <v>Imputed depreciation (straight line)</v>
      </c>
      <c r="D24" s="1186"/>
      <c r="E24" s="385" t="s">
        <v>88</v>
      </c>
      <c r="F24" s="961"/>
      <c r="G24" s="962"/>
      <c r="H24" s="962"/>
      <c r="I24" s="962"/>
      <c r="J24" s="962"/>
      <c r="K24" s="962"/>
      <c r="L24" s="962"/>
      <c r="M24" s="962"/>
      <c r="N24" s="962"/>
      <c r="O24" s="962"/>
      <c r="P24" s="962"/>
      <c r="Q24" s="407"/>
      <c r="R24" s="321" t="str">
        <f>IF(MID(S24,7,1)="D","  ","")</f>
        <v/>
      </c>
      <c r="S24" s="319" t="s">
        <v>71</v>
      </c>
    </row>
    <row r="25" spans="1:19" ht="11.25" hidden="1" customHeight="1" x14ac:dyDescent="0.35">
      <c r="A25" s="357" t="s">
        <v>89</v>
      </c>
      <c r="B25" s="363">
        <v>1</v>
      </c>
      <c r="C25" s="373" t="s">
        <v>90</v>
      </c>
      <c r="D25" s="1190"/>
      <c r="E25" s="385" t="s">
        <v>91</v>
      </c>
      <c r="F25" s="964"/>
      <c r="G25" s="965">
        <f ca="1">IF(OR(AND(G$5=0,NoZeroCol=1),AND(G$5=-99,NoResCol=1)),IF(G$5=0,OFFSET(InvInfo,$B19+30,0),SUM(OFFSET(G25,0,-1))),IF(G$5=0,OFFSET(InvInfo,$B19+30,0),SUM(OFFSET(G25,0,-1)))-OFFSET(G21,-2,0)+OFFSET(G25,-1,0)+G27)+IF(OFFSET(InvInfo,$B19+30,3)=1,OFFSET($E$963,$B19-1,G$8)-OFFSET($E$963,$B19-1,G$8-1),0)+IF(AND(OFFSET(InvInfo,$B19+30,4)=1,G$5=OFFSET(InvInfo,$B19+30,5)),$C26,0)+G$1175</f>
        <v>0</v>
      </c>
      <c r="H25" s="965">
        <f t="shared" ref="H25:Q25" ca="1" si="13">IF(OR(AND(H$5=0,NoZeroCol=1),AND(H$5=-99,NoResCol=1)),IF(H$5=0,OFFSET(InvInfo,$B19+30,0),SUM(OFFSET(H25,0,-1))),IF(H$5=0,OFFSET(InvInfo,$B19+30,0),SUM(OFFSET(H25,0,-1)))-OFFSET(H21,-2,0)+OFFSET(H25,-1,0)+H27)+IF(OFFSET(InvInfo,$B19+30,3)=1,OFFSET($E$963,$B19-1,H$8)-OFFSET($E$963,$B19-1,H$8-1),0)+IF(AND(OFFSET(InvInfo,$B19+30,4)=1,H$5=OFFSET(InvInfo,$B19+30,5)),$C26,0)+H$1175</f>
        <v>1000000</v>
      </c>
      <c r="I25" s="965">
        <f t="shared" ca="1" si="13"/>
        <v>1000000</v>
      </c>
      <c r="J25" s="965">
        <f t="shared" ca="1" si="13"/>
        <v>1000000</v>
      </c>
      <c r="K25" s="965">
        <f t="shared" ca="1" si="13"/>
        <v>1000000</v>
      </c>
      <c r="L25" s="965">
        <f t="shared" ca="1" si="13"/>
        <v>1000000</v>
      </c>
      <c r="M25" s="965">
        <f t="shared" ca="1" si="13"/>
        <v>1000000</v>
      </c>
      <c r="N25" s="965">
        <f t="shared" ca="1" si="13"/>
        <v>1000000</v>
      </c>
      <c r="O25" s="965">
        <f t="shared" ca="1" si="13"/>
        <v>1000000</v>
      </c>
      <c r="P25" s="965">
        <f t="shared" ca="1" si="13"/>
        <v>1000000</v>
      </c>
      <c r="Q25" s="963">
        <f t="shared" ca="1" si="13"/>
        <v>0</v>
      </c>
      <c r="R25" s="321" t="str">
        <f>IF(MID(S25,7,1)="D","  ","")</f>
        <v/>
      </c>
      <c r="S25" s="319" t="s">
        <v>82</v>
      </c>
    </row>
    <row r="26" spans="1:19" ht="11.25" hidden="1" customHeight="1" x14ac:dyDescent="0.35">
      <c r="A26" s="357" t="s">
        <v>92</v>
      </c>
      <c r="B26" s="360"/>
      <c r="C26" s="375">
        <f>C22</f>
        <v>0</v>
      </c>
      <c r="D26" s="1189">
        <v>1</v>
      </c>
      <c r="E26" s="1181" t="s">
        <v>93</v>
      </c>
      <c r="F26" s="370"/>
      <c r="G26" s="371"/>
      <c r="H26" s="371"/>
      <c r="I26" s="371"/>
      <c r="J26" s="371"/>
      <c r="K26" s="371"/>
      <c r="L26" s="371"/>
      <c r="M26" s="371"/>
      <c r="N26" s="371"/>
      <c r="O26" s="371"/>
      <c r="P26" s="371"/>
      <c r="Q26" s="368">
        <f ca="1">OFFSET(Q25,-6,0)</f>
        <v>100000</v>
      </c>
      <c r="R26" s="321"/>
      <c r="S26" s="319" t="s">
        <v>40</v>
      </c>
    </row>
    <row r="27" spans="1:19" ht="11.25" hidden="1" customHeight="1" x14ac:dyDescent="0.35">
      <c r="A27" s="357" t="s">
        <v>94</v>
      </c>
      <c r="B27" s="360">
        <v>1</v>
      </c>
      <c r="C27" s="369" t="str">
        <f>""&amp;C23</f>
        <v/>
      </c>
      <c r="D27" s="1189">
        <v>1</v>
      </c>
      <c r="E27" s="1183" t="s">
        <v>95</v>
      </c>
      <c r="F27" s="370"/>
      <c r="G27" s="371"/>
      <c r="H27" s="371"/>
      <c r="I27" s="371"/>
      <c r="J27" s="371"/>
      <c r="K27" s="371"/>
      <c r="L27" s="371"/>
      <c r="M27" s="371"/>
      <c r="N27" s="371"/>
      <c r="O27" s="371"/>
      <c r="P27" s="371"/>
      <c r="Q27" s="371">
        <f ca="1">IF(NOT(ISBLANK(OFFSET(Q25,-6,0))),OFFSET(Q25,-6,0)-OFFSET(Q25,0,-1),0)</f>
        <v>-900000</v>
      </c>
      <c r="R27" s="321"/>
      <c r="S27" s="319" t="s">
        <v>40</v>
      </c>
    </row>
    <row r="28" spans="1:19" ht="11.25" hidden="1" customHeight="1" x14ac:dyDescent="0.35">
      <c r="A28" s="353">
        <v>0</v>
      </c>
      <c r="B28" s="354"/>
      <c r="C28" s="355"/>
      <c r="D28" s="1184"/>
      <c r="E28" s="1180" t="s">
        <v>96</v>
      </c>
      <c r="F28" s="317"/>
      <c r="G28" s="356"/>
      <c r="H28" s="356"/>
      <c r="I28" s="356"/>
      <c r="J28" s="356"/>
      <c r="K28" s="356"/>
      <c r="L28" s="356"/>
      <c r="M28" s="356"/>
      <c r="N28" s="356"/>
      <c r="O28" s="356"/>
      <c r="P28" s="356"/>
      <c r="Q28" s="356"/>
      <c r="R28" s="321"/>
      <c r="S28" s="319" t="s">
        <v>73</v>
      </c>
    </row>
    <row r="29" spans="1:19" ht="11.25" customHeight="1" x14ac:dyDescent="0.35">
      <c r="A29" s="357" t="s">
        <v>6252</v>
      </c>
      <c r="B29" s="358">
        <v>2</v>
      </c>
      <c r="C29" s="359" t="s">
        <v>6240</v>
      </c>
      <c r="D29" s="1185"/>
      <c r="E29" s="380" t="s">
        <v>97</v>
      </c>
      <c r="F29" s="959"/>
      <c r="G29" s="960"/>
      <c r="H29" s="960">
        <v>-500000</v>
      </c>
      <c r="I29" s="960">
        <v>-500000</v>
      </c>
      <c r="J29" s="960">
        <v>-350000</v>
      </c>
      <c r="K29" s="960">
        <v>-350000</v>
      </c>
      <c r="L29" s="960"/>
      <c r="M29" s="960"/>
      <c r="N29" s="960"/>
      <c r="O29" s="960"/>
      <c r="P29" s="960"/>
      <c r="Q29" s="957">
        <v>400000</v>
      </c>
      <c r="R29" s="321" t="str">
        <f>IF(MID(S29,7,1)="D","  ","")</f>
        <v/>
      </c>
      <c r="S29" s="319" t="s">
        <v>71</v>
      </c>
    </row>
    <row r="30" spans="1:19" ht="11.25" customHeight="1" x14ac:dyDescent="0.35">
      <c r="A30" s="357" t="s">
        <v>6253</v>
      </c>
      <c r="B30" s="360" t="s">
        <v>77</v>
      </c>
      <c r="C30" s="361" t="str">
        <f ca="1">SpecsTxt!$G$12&amp;" "&amp;B30</f>
        <v>Depreciation (straight line)</v>
      </c>
      <c r="D30" s="1186">
        <v>4</v>
      </c>
      <c r="E30" s="385" t="s">
        <v>98</v>
      </c>
      <c r="F30" s="961"/>
      <c r="G30" s="1378"/>
      <c r="H30" s="1378">
        <f>-1666.66666666667*-$H$29/500000</f>
        <v>-1666.6666666666699</v>
      </c>
      <c r="I30" s="1378">
        <f>-1666.66666666667*-$H$29/500000-1666.66666666667*-$I$29/500000</f>
        <v>-3333.3333333333399</v>
      </c>
      <c r="J30" s="1378">
        <f>-1666.66666666667*-$H$29/500000-1666.66666666667*-$I$29/500000-1166.66666666667*-$J$29/350000</f>
        <v>-4500.00000000001</v>
      </c>
      <c r="K30" s="1378">
        <f>-1666.66666666667*-$H$29/500000-1666.66666666667*-$I$29/500000-1166.66666666667*-$J$29/350000-1166.66666666667*-$K$29/350000</f>
        <v>-5666.6666666666797</v>
      </c>
      <c r="L30" s="1378">
        <f>-20000*-$H$29/500000-20000*-$I$29/500000-14000*-$J$29/350000-14000*-$K$29/350000</f>
        <v>-68000</v>
      </c>
      <c r="M30" s="1378">
        <f>-20000*-$H$29/500000-20000*-$I$29/500000-14000*-$J$29/350000-14000*-$K$29/350000</f>
        <v>-68000</v>
      </c>
      <c r="N30" s="1378">
        <f>-20000*-$H$29/500000-20000*-$I$29/500000-14000*-$J$29/350000-14000*-$K$29/350000</f>
        <v>-68000</v>
      </c>
      <c r="O30" s="1378">
        <f>-20000*-$H$29/500000-20000*-$I$29/500000-14000*-$J$29/350000-14000*-$K$29/350000</f>
        <v>-68000</v>
      </c>
      <c r="P30" s="1378">
        <f>-20000*-$H$29/500000-20000*-$I$29/500000-14000*-$J$29/350000-14000*-$K$29/350000</f>
        <v>-68000</v>
      </c>
      <c r="Q30" s="407"/>
      <c r="R30" s="321" t="str">
        <f>IF(MID(S30,7,1)="D","  ","")</f>
        <v/>
      </c>
      <c r="S30" s="319" t="s">
        <v>71</v>
      </c>
    </row>
    <row r="31" spans="1:19" ht="11.25" customHeight="1" x14ac:dyDescent="0.35">
      <c r="A31" s="357" t="s">
        <v>6254</v>
      </c>
      <c r="B31" s="363">
        <v>1</v>
      </c>
      <c r="C31" s="364" t="s">
        <v>80</v>
      </c>
      <c r="D31" s="1187">
        <v>25</v>
      </c>
      <c r="E31" s="385" t="s">
        <v>99</v>
      </c>
      <c r="F31" s="961"/>
      <c r="G31" s="962">
        <f ca="1">IF(OR(AND(G$5=0,NoZeroCol=1),AND(G$5=-99,NoResCol=1)),IF(G$5=0,OFFSET(InvInfo,$B29,0),SUM(OFFSET(G31,0,-1))),IF(G$5=0,OFFSET(InvInfo,$B29,0),SUM(OFFSET(G31,0,-1)))-OFFSET(G31,-2,0)+OFFSET(G31,-1,0)+G33)+IF(OFFSET(InvInfo,$B29,3)=1,OFFSET($E$933,$B29-1,G$8)-OFFSET($E$933,$B29-1,G$8-1),0)+IF(AND(OFFSET(InvInfo,$B29,4)=1,G$5=OFFSET(InvInfo,$B29,5)),$C32,0)+G$1176</f>
        <v>0</v>
      </c>
      <c r="H31" s="962">
        <f t="shared" ref="H31:Q31" ca="1" si="14">IF(OR(AND(H$5=0,NoZeroCol=1),AND(H$5=-99,NoResCol=1)),IF(H$5=0,OFFSET(InvInfo,$B29,0),SUM(OFFSET(H31,0,-1))),IF(H$5=0,OFFSET(InvInfo,$B29,0),SUM(OFFSET(H31,0,-1)))-OFFSET(H31,-2,0)+OFFSET(H31,-1,0)+H33)+IF(OFFSET(InvInfo,$B29,3)=1,OFFSET($E$933,$B29-1,H$8)-OFFSET($E$933,$B29-1,H$8-1),0)+IF(AND(OFFSET(InvInfo,$B29,4)=1,H$5=OFFSET(InvInfo,$B29,5)),$C32,0)+H$1176</f>
        <v>498333.33333333331</v>
      </c>
      <c r="I31" s="962">
        <f t="shared" ca="1" si="14"/>
        <v>994999.99999999988</v>
      </c>
      <c r="J31" s="962">
        <f t="shared" ca="1" si="14"/>
        <v>1340500</v>
      </c>
      <c r="K31" s="962">
        <f t="shared" ca="1" si="14"/>
        <v>1684833.3333333333</v>
      </c>
      <c r="L31" s="962">
        <f t="shared" ca="1" si="14"/>
        <v>1616833.3333333333</v>
      </c>
      <c r="M31" s="962">
        <f t="shared" ca="1" si="14"/>
        <v>1548833.3333333333</v>
      </c>
      <c r="N31" s="962">
        <f t="shared" ca="1" si="14"/>
        <v>1480833.3333333333</v>
      </c>
      <c r="O31" s="962">
        <f t="shared" ca="1" si="14"/>
        <v>1412833.3333333333</v>
      </c>
      <c r="P31" s="962">
        <f t="shared" ca="1" si="14"/>
        <v>1344833.3333333333</v>
      </c>
      <c r="Q31" s="407">
        <f t="shared" ca="1" si="14"/>
        <v>0</v>
      </c>
      <c r="R31" s="321" t="str">
        <f>IF(MID(S31,7,1)="D","  ","")</f>
        <v/>
      </c>
      <c r="S31" s="319" t="s">
        <v>82</v>
      </c>
    </row>
    <row r="32" spans="1:19" ht="11.25" hidden="1" customHeight="1" x14ac:dyDescent="0.35">
      <c r="A32" s="357" t="s">
        <v>6255</v>
      </c>
      <c r="B32" s="365">
        <v>1</v>
      </c>
      <c r="C32" s="366">
        <v>0</v>
      </c>
      <c r="D32" s="1188">
        <v>1</v>
      </c>
      <c r="E32" s="1181" t="s">
        <v>100</v>
      </c>
      <c r="F32" s="367"/>
      <c r="G32" s="368"/>
      <c r="H32" s="368"/>
      <c r="I32" s="368"/>
      <c r="J32" s="368"/>
      <c r="K32" s="368"/>
      <c r="L32" s="368"/>
      <c r="M32" s="368"/>
      <c r="N32" s="368"/>
      <c r="O32" s="368"/>
      <c r="P32" s="368"/>
      <c r="Q32" s="368">
        <f ca="1">OFFSET(Q31,-2,0)</f>
        <v>400000</v>
      </c>
      <c r="R32" s="321"/>
      <c r="S32" s="319" t="s">
        <v>40</v>
      </c>
    </row>
    <row r="33" spans="1:19" ht="11.25" hidden="1" customHeight="1" x14ac:dyDescent="0.35">
      <c r="A33" s="357" t="s">
        <v>6256</v>
      </c>
      <c r="B33" s="360">
        <v>1</v>
      </c>
      <c r="C33" s="369" t="s">
        <v>6246</v>
      </c>
      <c r="D33" s="1189">
        <v>1</v>
      </c>
      <c r="E33" s="1182" t="s">
        <v>101</v>
      </c>
      <c r="F33" s="370"/>
      <c r="G33" s="371"/>
      <c r="H33" s="371"/>
      <c r="I33" s="371"/>
      <c r="J33" s="371"/>
      <c r="K33" s="371"/>
      <c r="L33" s="371"/>
      <c r="M33" s="371"/>
      <c r="N33" s="371"/>
      <c r="O33" s="371"/>
      <c r="P33" s="371"/>
      <c r="Q33" s="371">
        <f ca="1">IF(NOT(ISBLANK(OFFSET(Q31,-2,0))),OFFSET(Q31,-2,0)-OFFSET(Q31,0,-1),0)</f>
        <v>-944833.33333333326</v>
      </c>
      <c r="R33" s="321"/>
      <c r="S33" s="319" t="s">
        <v>40</v>
      </c>
    </row>
    <row r="34" spans="1:19" ht="11.25" hidden="1" customHeight="1" x14ac:dyDescent="0.35">
      <c r="A34" s="357" t="s">
        <v>6257</v>
      </c>
      <c r="B34" s="360" t="s">
        <v>77</v>
      </c>
      <c r="C34" s="372" t="str">
        <f>$C$16&amp;" "&amp;B34</f>
        <v>Imputed depreciation (straight line)</v>
      </c>
      <c r="D34" s="1186"/>
      <c r="E34" s="385" t="s">
        <v>102</v>
      </c>
      <c r="F34" s="961"/>
      <c r="G34" s="962"/>
      <c r="H34" s="962"/>
      <c r="I34" s="962"/>
      <c r="J34" s="962"/>
      <c r="K34" s="962"/>
      <c r="L34" s="962"/>
      <c r="M34" s="962"/>
      <c r="N34" s="962"/>
      <c r="O34" s="962"/>
      <c r="P34" s="962"/>
      <c r="Q34" s="407"/>
      <c r="R34" s="321" t="str">
        <f>IF(MID(S34,7,1)="D","  ","")</f>
        <v/>
      </c>
      <c r="S34" s="319" t="s">
        <v>71</v>
      </c>
    </row>
    <row r="35" spans="1:19" ht="11.25" hidden="1" customHeight="1" x14ac:dyDescent="0.35">
      <c r="A35" s="357" t="s">
        <v>6258</v>
      </c>
      <c r="B35" s="363">
        <v>1</v>
      </c>
      <c r="C35" s="373" t="s">
        <v>90</v>
      </c>
      <c r="D35" s="1190"/>
      <c r="E35" s="385" t="s">
        <v>103</v>
      </c>
      <c r="F35" s="964"/>
      <c r="G35" s="965">
        <f ca="1">IF(OR(AND(G$5=0,NoZeroCol=1),AND(G$5=-99,NoResCol=1)),IF(G$5=0,OFFSET(InvInfo,$B29+30,0),SUM(OFFSET(G35,0,-1))),IF(G$5=0,OFFSET(InvInfo,$B29+30,0),SUM(OFFSET(G35,0,-1)))-OFFSET(G31,-2,0)+OFFSET(G35,-1,0)+G37)+IF(OFFSET(InvInfo,$B29+30,3)=1,OFFSET($E$963,$B29-1,G$8)-OFFSET($E$963,$B29-1,G$8-1),0)+IF(AND(OFFSET(InvInfo,$B29+30,4)=1,G$5=OFFSET(InvInfo,$B29+30,5)),$C36,0)+G$1176</f>
        <v>0</v>
      </c>
      <c r="H35" s="965">
        <f t="shared" ref="H35:Q35" ca="1" si="15">IF(OR(AND(H$5=0,NoZeroCol=1),AND(H$5=-99,NoResCol=1)),IF(H$5=0,OFFSET(InvInfo,$B29+30,0),SUM(OFFSET(H35,0,-1))),IF(H$5=0,OFFSET(InvInfo,$B29+30,0),SUM(OFFSET(H35,0,-1)))-OFFSET(H31,-2,0)+OFFSET(H35,-1,0)+H37)+IF(OFFSET(InvInfo,$B29+30,3)=1,OFFSET($E$963,$B29-1,H$8)-OFFSET($E$963,$B29-1,H$8-1),0)+IF(AND(OFFSET(InvInfo,$B29+30,4)=1,H$5=OFFSET(InvInfo,$B29+30,5)),$C36,0)+H$1176</f>
        <v>500000</v>
      </c>
      <c r="I35" s="965">
        <f t="shared" ca="1" si="15"/>
        <v>1000000</v>
      </c>
      <c r="J35" s="965">
        <f t="shared" ca="1" si="15"/>
        <v>1350000</v>
      </c>
      <c r="K35" s="965">
        <f t="shared" ca="1" si="15"/>
        <v>1700000</v>
      </c>
      <c r="L35" s="965">
        <f t="shared" ca="1" si="15"/>
        <v>1700000</v>
      </c>
      <c r="M35" s="965">
        <f t="shared" ca="1" si="15"/>
        <v>1700000</v>
      </c>
      <c r="N35" s="965">
        <f t="shared" ca="1" si="15"/>
        <v>1700000</v>
      </c>
      <c r="O35" s="965">
        <f t="shared" ca="1" si="15"/>
        <v>1700000</v>
      </c>
      <c r="P35" s="965">
        <f t="shared" ca="1" si="15"/>
        <v>1700000</v>
      </c>
      <c r="Q35" s="963">
        <f t="shared" ca="1" si="15"/>
        <v>0</v>
      </c>
      <c r="R35" s="321" t="str">
        <f>IF(MID(S35,7,1)="D","  ","")</f>
        <v/>
      </c>
      <c r="S35" s="319" t="s">
        <v>82</v>
      </c>
    </row>
    <row r="36" spans="1:19" ht="11.25" hidden="1" customHeight="1" x14ac:dyDescent="0.35">
      <c r="A36" s="357" t="s">
        <v>6259</v>
      </c>
      <c r="B36" s="360">
        <v>0</v>
      </c>
      <c r="C36" s="375">
        <f>C32</f>
        <v>0</v>
      </c>
      <c r="D36" s="1189">
        <v>1</v>
      </c>
      <c r="E36" s="1181" t="s">
        <v>104</v>
      </c>
      <c r="F36" s="370"/>
      <c r="G36" s="371"/>
      <c r="H36" s="371"/>
      <c r="I36" s="371"/>
      <c r="J36" s="371"/>
      <c r="K36" s="371"/>
      <c r="L36" s="371"/>
      <c r="M36" s="371"/>
      <c r="N36" s="371"/>
      <c r="O36" s="371"/>
      <c r="P36" s="371"/>
      <c r="Q36" s="368">
        <f ca="1">OFFSET(Q35,-6,0)</f>
        <v>400000</v>
      </c>
      <c r="R36" s="321"/>
      <c r="S36" s="319" t="s">
        <v>40</v>
      </c>
    </row>
    <row r="37" spans="1:19" ht="11.25" hidden="1" customHeight="1" x14ac:dyDescent="0.35">
      <c r="A37" s="357" t="s">
        <v>6260</v>
      </c>
      <c r="B37" s="360">
        <v>1</v>
      </c>
      <c r="C37" s="369" t="str">
        <f>""&amp;C33</f>
        <v/>
      </c>
      <c r="D37" s="1189">
        <v>1</v>
      </c>
      <c r="E37" s="1183" t="s">
        <v>105</v>
      </c>
      <c r="F37" s="370"/>
      <c r="G37" s="371"/>
      <c r="H37" s="371"/>
      <c r="I37" s="371"/>
      <c r="J37" s="371"/>
      <c r="K37" s="371"/>
      <c r="L37" s="371"/>
      <c r="M37" s="371"/>
      <c r="N37" s="371"/>
      <c r="O37" s="371"/>
      <c r="P37" s="371"/>
      <c r="Q37" s="371">
        <f ca="1">IF(NOT(ISBLANK(OFFSET(Q35,-6,0))),OFFSET(Q35,-6,0)-OFFSET(Q35,0,-1),0)</f>
        <v>-1300000</v>
      </c>
      <c r="R37" s="321"/>
      <c r="S37" s="319" t="s">
        <v>40</v>
      </c>
    </row>
    <row r="38" spans="1:19" ht="11.25" hidden="1" customHeight="1" x14ac:dyDescent="0.35">
      <c r="A38" s="353">
        <v>0</v>
      </c>
      <c r="B38" s="354"/>
      <c r="C38" s="355"/>
      <c r="D38" s="1184"/>
      <c r="E38" s="1180" t="s">
        <v>106</v>
      </c>
      <c r="F38" s="317"/>
      <c r="G38" s="356"/>
      <c r="H38" s="356"/>
      <c r="I38" s="356"/>
      <c r="J38" s="356"/>
      <c r="K38" s="356"/>
      <c r="L38" s="356"/>
      <c r="M38" s="356"/>
      <c r="N38" s="356"/>
      <c r="O38" s="356"/>
      <c r="P38" s="356"/>
      <c r="Q38" s="356"/>
      <c r="R38" s="321"/>
      <c r="S38" s="319" t="s">
        <v>73</v>
      </c>
    </row>
    <row r="39" spans="1:19" ht="11.25" customHeight="1" x14ac:dyDescent="0.35">
      <c r="A39" s="357" t="s">
        <v>107</v>
      </c>
      <c r="B39" s="358">
        <v>3</v>
      </c>
      <c r="C39" s="359" t="s">
        <v>6241</v>
      </c>
      <c r="D39" s="1185"/>
      <c r="E39" s="380" t="s">
        <v>108</v>
      </c>
      <c r="F39" s="959"/>
      <c r="G39" s="960"/>
      <c r="H39" s="960"/>
      <c r="I39" s="960"/>
      <c r="J39" s="960"/>
      <c r="K39" s="960"/>
      <c r="L39" s="960"/>
      <c r="M39" s="960">
        <v>-90000</v>
      </c>
      <c r="N39" s="960"/>
      <c r="O39" s="960">
        <v>-45000</v>
      </c>
      <c r="P39" s="960"/>
      <c r="Q39" s="957">
        <f ca="1">OFFSET(Q39,2,-1)</f>
        <v>22500</v>
      </c>
      <c r="R39" s="321" t="str">
        <f>IF(MID(S39,7,1)="D","  ","")</f>
        <v/>
      </c>
      <c r="S39" s="319" t="s">
        <v>71</v>
      </c>
    </row>
    <row r="40" spans="1:19" ht="11.25" customHeight="1" x14ac:dyDescent="0.35">
      <c r="A40" s="357" t="s">
        <v>109</v>
      </c>
      <c r="B40" s="360" t="s">
        <v>77</v>
      </c>
      <c r="C40" s="361" t="str">
        <f ca="1">SpecsTxt!$G$12&amp;" "&amp;B40</f>
        <v>Depreciation (straight line)</v>
      </c>
      <c r="D40" s="1186">
        <v>25</v>
      </c>
      <c r="E40" s="385" t="s">
        <v>110</v>
      </c>
      <c r="F40" s="961"/>
      <c r="G40" s="1378"/>
      <c r="H40" s="1378"/>
      <c r="I40" s="1378"/>
      <c r="J40" s="1378"/>
      <c r="K40" s="1378"/>
      <c r="L40" s="1378"/>
      <c r="M40" s="1378">
        <f>-22500*-$M$39/90000</f>
        <v>-22500</v>
      </c>
      <c r="N40" s="1378">
        <f>-22500*-$M$39/90000</f>
        <v>-22500</v>
      </c>
      <c r="O40" s="1378">
        <f>-22500*-$M$39/90000-11250*-$O$39/45000</f>
        <v>-33750</v>
      </c>
      <c r="P40" s="1378">
        <f>-22500*-$M$39/90000-11250*-$O$39/45000</f>
        <v>-33750</v>
      </c>
      <c r="Q40" s="407"/>
      <c r="R40" s="321" t="str">
        <f>IF(MID(S40,7,1)="D","  ","")</f>
        <v/>
      </c>
      <c r="S40" s="319" t="s">
        <v>71</v>
      </c>
    </row>
    <row r="41" spans="1:19" ht="11.25" customHeight="1" x14ac:dyDescent="0.35">
      <c r="A41" s="357" t="s">
        <v>111</v>
      </c>
      <c r="B41" s="363">
        <v>1</v>
      </c>
      <c r="C41" s="364" t="s">
        <v>80</v>
      </c>
      <c r="D41" s="1187">
        <v>4</v>
      </c>
      <c r="E41" s="385" t="s">
        <v>112</v>
      </c>
      <c r="F41" s="961"/>
      <c r="G41" s="962">
        <f ca="1">IF(OR(AND(G$5=0,NoZeroCol=1),AND(G$5=-99,NoResCol=1)),IF(G$5=0,OFFSET(InvInfo,$B39,0),SUM(OFFSET(G41,0,-1))),IF(G$5=0,OFFSET(InvInfo,$B39,0),SUM(OFFSET(G41,0,-1)))-OFFSET(G41,-2,0)+OFFSET(G41,-1,0)+G43)+IF(OFFSET(InvInfo,$B39,3)=1,OFFSET($E$933,$B39-1,G$8)-OFFSET($E$933,$B39-1,G$8-1),0)+IF(AND(OFFSET(InvInfo,$B39,4)=1,G$5=OFFSET(InvInfo,$B39,5)),$C42,0)+G$1177</f>
        <v>0</v>
      </c>
      <c r="H41" s="962">
        <f t="shared" ref="H41:Q41" ca="1" si="16">IF(OR(AND(H$5=0,NoZeroCol=1),AND(H$5=-99,NoResCol=1)),IF(H$5=0,OFFSET(InvInfo,$B39,0),SUM(OFFSET(H41,0,-1))),IF(H$5=0,OFFSET(InvInfo,$B39,0),SUM(OFFSET(H41,0,-1)))-OFFSET(H41,-2,0)+OFFSET(H41,-1,0)+H43)+IF(OFFSET(InvInfo,$B39,3)=1,OFFSET($E$933,$B39-1,H$8)-OFFSET($E$933,$B39-1,H$8-1),0)+IF(AND(OFFSET(InvInfo,$B39,4)=1,H$5=OFFSET(InvInfo,$B39,5)),$C42,0)+H$1177</f>
        <v>0</v>
      </c>
      <c r="I41" s="962">
        <f t="shared" ca="1" si="16"/>
        <v>0</v>
      </c>
      <c r="J41" s="962">
        <f t="shared" ca="1" si="16"/>
        <v>0</v>
      </c>
      <c r="K41" s="962">
        <f t="shared" ca="1" si="16"/>
        <v>0</v>
      </c>
      <c r="L41" s="962">
        <f t="shared" ca="1" si="16"/>
        <v>0</v>
      </c>
      <c r="M41" s="962">
        <f t="shared" ca="1" si="16"/>
        <v>67500</v>
      </c>
      <c r="N41" s="962">
        <f t="shared" ca="1" si="16"/>
        <v>45000</v>
      </c>
      <c r="O41" s="962">
        <f t="shared" ca="1" si="16"/>
        <v>56250</v>
      </c>
      <c r="P41" s="962">
        <f t="shared" ca="1" si="16"/>
        <v>22500</v>
      </c>
      <c r="Q41" s="407">
        <f t="shared" ca="1" si="16"/>
        <v>0</v>
      </c>
      <c r="R41" s="321" t="str">
        <f>IF(MID(S41,7,1)="D","  ","")</f>
        <v/>
      </c>
      <c r="S41" s="319" t="s">
        <v>82</v>
      </c>
    </row>
    <row r="42" spans="1:19" ht="11.25" hidden="1" customHeight="1" x14ac:dyDescent="0.35">
      <c r="A42" s="357" t="s">
        <v>113</v>
      </c>
      <c r="B42" s="365">
        <v>1</v>
      </c>
      <c r="C42" s="366">
        <v>0</v>
      </c>
      <c r="D42" s="1188">
        <v>1</v>
      </c>
      <c r="E42" s="1181" t="s">
        <v>114</v>
      </c>
      <c r="F42" s="367"/>
      <c r="G42" s="368"/>
      <c r="H42" s="368"/>
      <c r="I42" s="368"/>
      <c r="J42" s="368"/>
      <c r="K42" s="368"/>
      <c r="L42" s="368"/>
      <c r="M42" s="368"/>
      <c r="N42" s="368"/>
      <c r="O42" s="368"/>
      <c r="P42" s="368"/>
      <c r="Q42" s="368">
        <f ca="1">OFFSET(Q41,-2,0)</f>
        <v>22500</v>
      </c>
      <c r="R42" s="321"/>
      <c r="S42" s="319" t="s">
        <v>40</v>
      </c>
    </row>
    <row r="43" spans="1:19" ht="11.25" hidden="1" customHeight="1" x14ac:dyDescent="0.35">
      <c r="A43" s="357" t="s">
        <v>115</v>
      </c>
      <c r="B43" s="360">
        <v>1</v>
      </c>
      <c r="C43" s="369" t="s">
        <v>6246</v>
      </c>
      <c r="D43" s="1189">
        <v>1</v>
      </c>
      <c r="E43" s="1182" t="s">
        <v>116</v>
      </c>
      <c r="F43" s="370"/>
      <c r="G43" s="371"/>
      <c r="H43" s="371"/>
      <c r="I43" s="371"/>
      <c r="J43" s="371"/>
      <c r="K43" s="371"/>
      <c r="L43" s="371"/>
      <c r="M43" s="371"/>
      <c r="N43" s="371"/>
      <c r="O43" s="371"/>
      <c r="P43" s="371"/>
      <c r="Q43" s="371">
        <f ca="1">IF(NOT(ISBLANK(OFFSET(Q41,-2,0))),OFFSET(Q41,-2,0)-OFFSET(Q41,0,-1),0)</f>
        <v>0</v>
      </c>
      <c r="R43" s="321"/>
      <c r="S43" s="319" t="s">
        <v>40</v>
      </c>
    </row>
    <row r="44" spans="1:19" ht="11.25" hidden="1" customHeight="1" x14ac:dyDescent="0.35">
      <c r="A44" s="357" t="s">
        <v>117</v>
      </c>
      <c r="B44" s="360" t="s">
        <v>77</v>
      </c>
      <c r="C44" s="372" t="str">
        <f>$C$16&amp;" "&amp;B44</f>
        <v>Imputed depreciation (straight line)</v>
      </c>
      <c r="D44" s="1186"/>
      <c r="E44" s="385" t="s">
        <v>118</v>
      </c>
      <c r="F44" s="961"/>
      <c r="G44" s="962"/>
      <c r="H44" s="962"/>
      <c r="I44" s="962"/>
      <c r="J44" s="962"/>
      <c r="K44" s="962"/>
      <c r="L44" s="962"/>
      <c r="M44" s="962"/>
      <c r="N44" s="962"/>
      <c r="O44" s="962"/>
      <c r="P44" s="962"/>
      <c r="Q44" s="407"/>
      <c r="R44" s="321" t="str">
        <f>IF(MID(S44,7,1)="D","  ","")</f>
        <v/>
      </c>
      <c r="S44" s="319" t="s">
        <v>71</v>
      </c>
    </row>
    <row r="45" spans="1:19" ht="11.25" hidden="1" customHeight="1" x14ac:dyDescent="0.35">
      <c r="A45" s="357" t="s">
        <v>119</v>
      </c>
      <c r="B45" s="363">
        <v>1</v>
      </c>
      <c r="C45" s="373" t="s">
        <v>90</v>
      </c>
      <c r="D45" s="1190"/>
      <c r="E45" s="385" t="s">
        <v>120</v>
      </c>
      <c r="F45" s="964"/>
      <c r="G45" s="965">
        <f ca="1">IF(OR(AND(G$5=0,NoZeroCol=1),AND(G$5=-99,NoResCol=1)),IF(G$5=0,OFFSET(InvInfo,$B39+30,0),SUM(OFFSET(G45,0,-1))),IF(G$5=0,OFFSET(InvInfo,$B39+30,0),SUM(OFFSET(G45,0,-1)))-OFFSET(G41,-2,0)+OFFSET(G45,-1,0)+G47)+IF(OFFSET(InvInfo,$B39+30,3)=1,OFFSET($E$963,$B39-1,G$8)-OFFSET($E$963,$B39-1,G$8-1),0)+IF(AND(OFFSET(InvInfo,$B39+30,4)=1,G$5=OFFSET(InvInfo,$B39+30,5)),$C46,0)+G$1177</f>
        <v>0</v>
      </c>
      <c r="H45" s="965">
        <f t="shared" ref="H45:Q45" ca="1" si="17">IF(OR(AND(H$5=0,NoZeroCol=1),AND(H$5=-99,NoResCol=1)),IF(H$5=0,OFFSET(InvInfo,$B39+30,0),SUM(OFFSET(H45,0,-1))),IF(H$5=0,OFFSET(InvInfo,$B39+30,0),SUM(OFFSET(H45,0,-1)))-OFFSET(H41,-2,0)+OFFSET(H45,-1,0)+H47)+IF(OFFSET(InvInfo,$B39+30,3)=1,OFFSET($E$963,$B39-1,H$8)-OFFSET($E$963,$B39-1,H$8-1),0)+IF(AND(OFFSET(InvInfo,$B39+30,4)=1,H$5=OFFSET(InvInfo,$B39+30,5)),$C46,0)+H$1177</f>
        <v>0</v>
      </c>
      <c r="I45" s="965">
        <f t="shared" ca="1" si="17"/>
        <v>0</v>
      </c>
      <c r="J45" s="965">
        <f t="shared" ca="1" si="17"/>
        <v>0</v>
      </c>
      <c r="K45" s="965">
        <f t="shared" ca="1" si="17"/>
        <v>0</v>
      </c>
      <c r="L45" s="965">
        <f t="shared" ca="1" si="17"/>
        <v>0</v>
      </c>
      <c r="M45" s="965">
        <f t="shared" ca="1" si="17"/>
        <v>90000</v>
      </c>
      <c r="N45" s="965">
        <f t="shared" ca="1" si="17"/>
        <v>90000</v>
      </c>
      <c r="O45" s="965">
        <f t="shared" ca="1" si="17"/>
        <v>135000</v>
      </c>
      <c r="P45" s="965">
        <f t="shared" ca="1" si="17"/>
        <v>135000</v>
      </c>
      <c r="Q45" s="963">
        <f t="shared" ca="1" si="17"/>
        <v>0</v>
      </c>
      <c r="R45" s="321" t="str">
        <f>IF(MID(S45,7,1)="D","  ","")</f>
        <v/>
      </c>
      <c r="S45" s="319" t="s">
        <v>82</v>
      </c>
    </row>
    <row r="46" spans="1:19" ht="11.25" hidden="1" customHeight="1" x14ac:dyDescent="0.35">
      <c r="A46" s="357" t="s">
        <v>121</v>
      </c>
      <c r="B46" s="360">
        <v>0</v>
      </c>
      <c r="C46" s="375">
        <f>C42</f>
        <v>0</v>
      </c>
      <c r="D46" s="1189">
        <v>1</v>
      </c>
      <c r="E46" s="1181" t="s">
        <v>122</v>
      </c>
      <c r="F46" s="370"/>
      <c r="G46" s="371"/>
      <c r="H46" s="371"/>
      <c r="I46" s="371"/>
      <c r="J46" s="371"/>
      <c r="K46" s="371"/>
      <c r="L46" s="371"/>
      <c r="M46" s="371"/>
      <c r="N46" s="371"/>
      <c r="O46" s="371"/>
      <c r="P46" s="371"/>
      <c r="Q46" s="368">
        <f ca="1">OFFSET(Q45,-6,0)</f>
        <v>22500</v>
      </c>
      <c r="R46" s="321"/>
      <c r="S46" s="319" t="s">
        <v>40</v>
      </c>
    </row>
    <row r="47" spans="1:19" ht="11.25" hidden="1" customHeight="1" x14ac:dyDescent="0.35">
      <c r="A47" s="357" t="s">
        <v>123</v>
      </c>
      <c r="B47" s="360">
        <v>1</v>
      </c>
      <c r="C47" s="369" t="str">
        <f>""&amp;C43</f>
        <v/>
      </c>
      <c r="D47" s="1189">
        <v>1</v>
      </c>
      <c r="E47" s="1183" t="s">
        <v>124</v>
      </c>
      <c r="F47" s="370"/>
      <c r="G47" s="371"/>
      <c r="H47" s="371"/>
      <c r="I47" s="371"/>
      <c r="J47" s="371"/>
      <c r="K47" s="371"/>
      <c r="L47" s="371"/>
      <c r="M47" s="371"/>
      <c r="N47" s="371"/>
      <c r="O47" s="371"/>
      <c r="P47" s="371"/>
      <c r="Q47" s="371">
        <f ca="1">IF(NOT(ISBLANK(OFFSET(Q45,-6,0))),OFFSET(Q45,-6,0)-OFFSET(Q45,0,-1),0)</f>
        <v>-112500</v>
      </c>
      <c r="R47" s="321"/>
      <c r="S47" s="319" t="s">
        <v>40</v>
      </c>
    </row>
    <row r="48" spans="1:19" ht="11.25" hidden="1" customHeight="1" x14ac:dyDescent="0.35">
      <c r="A48" s="353">
        <v>0</v>
      </c>
      <c r="B48" s="354"/>
      <c r="C48" s="355"/>
      <c r="D48" s="1184"/>
      <c r="E48" s="1180" t="s">
        <v>125</v>
      </c>
      <c r="F48" s="317"/>
      <c r="G48" s="356"/>
      <c r="H48" s="356"/>
      <c r="I48" s="356"/>
      <c r="J48" s="356"/>
      <c r="K48" s="356"/>
      <c r="L48" s="356"/>
      <c r="M48" s="356"/>
      <c r="N48" s="356"/>
      <c r="O48" s="356"/>
      <c r="P48" s="356"/>
      <c r="Q48" s="356"/>
      <c r="R48" s="321"/>
      <c r="S48" s="319" t="s">
        <v>73</v>
      </c>
    </row>
    <row r="49" spans="1:19" ht="11.25" customHeight="1" x14ac:dyDescent="0.35">
      <c r="A49" s="357" t="s">
        <v>126</v>
      </c>
      <c r="B49" s="358">
        <v>4</v>
      </c>
      <c r="C49" s="359"/>
      <c r="D49" s="1185"/>
      <c r="E49" s="380" t="s">
        <v>127</v>
      </c>
      <c r="F49" s="959"/>
      <c r="G49" s="960"/>
      <c r="H49" s="960"/>
      <c r="I49" s="960"/>
      <c r="J49" s="960"/>
      <c r="K49" s="960"/>
      <c r="L49" s="960"/>
      <c r="M49" s="960"/>
      <c r="N49" s="960"/>
      <c r="O49" s="960"/>
      <c r="P49" s="960"/>
      <c r="Q49" s="957">
        <f ca="1">OFFSET(Q49,2,-1)</f>
        <v>0</v>
      </c>
      <c r="R49" s="321" t="str">
        <f>IF(MID(S49,7,1)="D","  ","")</f>
        <v/>
      </c>
      <c r="S49" s="319" t="s">
        <v>71</v>
      </c>
    </row>
    <row r="50" spans="1:19" ht="11.25" customHeight="1" x14ac:dyDescent="0.35">
      <c r="A50" s="357" t="s">
        <v>128</v>
      </c>
      <c r="B50" s="360" t="s">
        <v>77</v>
      </c>
      <c r="C50" s="361" t="str">
        <f ca="1">SpecsTxt!$G$12&amp;" "&amp;B50</f>
        <v>Depreciation (straight line)</v>
      </c>
      <c r="D50" s="1186"/>
      <c r="E50" s="385" t="s">
        <v>129</v>
      </c>
      <c r="F50" s="961"/>
      <c r="G50" s="962"/>
      <c r="H50" s="962"/>
      <c r="I50" s="962"/>
      <c r="J50" s="962"/>
      <c r="K50" s="962"/>
      <c r="L50" s="962"/>
      <c r="M50" s="962"/>
      <c r="N50" s="962"/>
      <c r="O50" s="962"/>
      <c r="P50" s="962"/>
      <c r="Q50" s="407"/>
      <c r="R50" s="321" t="str">
        <f>IF(MID(S50,7,1)="D","  ","")</f>
        <v/>
      </c>
      <c r="S50" s="319" t="s">
        <v>71</v>
      </c>
    </row>
    <row r="51" spans="1:19" ht="11.25" customHeight="1" x14ac:dyDescent="0.35">
      <c r="A51" s="357" t="s">
        <v>130</v>
      </c>
      <c r="B51" s="363">
        <v>1</v>
      </c>
      <c r="C51" s="364" t="s">
        <v>80</v>
      </c>
      <c r="D51" s="1187"/>
      <c r="E51" s="385" t="s">
        <v>131</v>
      </c>
      <c r="F51" s="961"/>
      <c r="G51" s="962">
        <f ca="1">IF(OR(AND(G$5=0,NoZeroCol=1),AND(G$5=-99,NoResCol=1)),IF(G$5=0,OFFSET(InvInfo,$B49,0),SUM(OFFSET(G51,0,-1))),IF(G$5=0,OFFSET(InvInfo,$B49,0),SUM(OFFSET(G51,0,-1)))-OFFSET(G51,-2,0)+OFFSET(G51,-1,0)+G53)+IF(OFFSET(InvInfo,$B49,3)=1,OFFSET($E$933,$B49-1,G$8)-OFFSET($E$933,$B49-1,G$8-1),0)+IF(AND(OFFSET(InvInfo,$B49,4)=1,G$5=OFFSET(InvInfo,$B49,5)),$C52,0)+G$1178</f>
        <v>0</v>
      </c>
      <c r="H51" s="962">
        <f t="shared" ref="H51:Q51" ca="1" si="18">IF(OR(AND(H$5=0,NoZeroCol=1),AND(H$5=-99,NoResCol=1)),IF(H$5=0,OFFSET(InvInfo,$B49,0),SUM(OFFSET(H51,0,-1))),IF(H$5=0,OFFSET(InvInfo,$B49,0),SUM(OFFSET(H51,0,-1)))-OFFSET(H51,-2,0)+OFFSET(H51,-1,0)+H53)+IF(OFFSET(InvInfo,$B49,3)=1,OFFSET($E$933,$B49-1,H$8)-OFFSET($E$933,$B49-1,H$8-1),0)+IF(AND(OFFSET(InvInfo,$B49,4)=1,H$5=OFFSET(InvInfo,$B49,5)),$C52,0)+H$1178</f>
        <v>0</v>
      </c>
      <c r="I51" s="962">
        <f t="shared" ca="1" si="18"/>
        <v>0</v>
      </c>
      <c r="J51" s="962">
        <f t="shared" ca="1" si="18"/>
        <v>0</v>
      </c>
      <c r="K51" s="962">
        <f t="shared" ca="1" si="18"/>
        <v>0</v>
      </c>
      <c r="L51" s="962">
        <f t="shared" ca="1" si="18"/>
        <v>0</v>
      </c>
      <c r="M51" s="962">
        <f t="shared" ca="1" si="18"/>
        <v>0</v>
      </c>
      <c r="N51" s="962">
        <f t="shared" ca="1" si="18"/>
        <v>0</v>
      </c>
      <c r="O51" s="962">
        <f t="shared" ca="1" si="18"/>
        <v>0</v>
      </c>
      <c r="P51" s="962">
        <f t="shared" ca="1" si="18"/>
        <v>0</v>
      </c>
      <c r="Q51" s="407">
        <f t="shared" ca="1" si="18"/>
        <v>0</v>
      </c>
      <c r="R51" s="321" t="str">
        <f>IF(MID(S51,7,1)="D","  ","")</f>
        <v/>
      </c>
      <c r="S51" s="319" t="s">
        <v>82</v>
      </c>
    </row>
    <row r="52" spans="1:19" ht="11.25" hidden="1" customHeight="1" x14ac:dyDescent="0.35">
      <c r="A52" s="357" t="s">
        <v>132</v>
      </c>
      <c r="B52" s="365">
        <v>1</v>
      </c>
      <c r="C52" s="366">
        <v>0</v>
      </c>
      <c r="D52" s="1188">
        <v>1</v>
      </c>
      <c r="E52" s="1181" t="s">
        <v>133</v>
      </c>
      <c r="F52" s="367"/>
      <c r="G52" s="368"/>
      <c r="H52" s="368"/>
      <c r="I52" s="368"/>
      <c r="J52" s="368"/>
      <c r="K52" s="368"/>
      <c r="L52" s="368"/>
      <c r="M52" s="368"/>
      <c r="N52" s="368"/>
      <c r="O52" s="368"/>
      <c r="P52" s="368"/>
      <c r="Q52" s="368">
        <f ca="1">OFFSET(Q51,-2,0)</f>
        <v>0</v>
      </c>
      <c r="R52" s="321"/>
      <c r="S52" s="319" t="s">
        <v>40</v>
      </c>
    </row>
    <row r="53" spans="1:19" ht="11.25" hidden="1" customHeight="1" x14ac:dyDescent="0.35">
      <c r="A53" s="357" t="s">
        <v>134</v>
      </c>
      <c r="B53" s="360">
        <v>1</v>
      </c>
      <c r="C53" s="369"/>
      <c r="D53" s="1189">
        <v>1</v>
      </c>
      <c r="E53" s="1182" t="s">
        <v>135</v>
      </c>
      <c r="F53" s="370"/>
      <c r="G53" s="371"/>
      <c r="H53" s="371"/>
      <c r="I53" s="371"/>
      <c r="J53" s="371"/>
      <c r="K53" s="371"/>
      <c r="L53" s="371"/>
      <c r="M53" s="371"/>
      <c r="N53" s="371"/>
      <c r="O53" s="371"/>
      <c r="P53" s="371"/>
      <c r="Q53" s="371">
        <f ca="1">IF(NOT(ISBLANK(OFFSET(Q51,-2,0))),OFFSET(Q51,-2,0)-OFFSET(Q51,0,-1),0)</f>
        <v>0</v>
      </c>
      <c r="R53" s="321"/>
      <c r="S53" s="319" t="s">
        <v>40</v>
      </c>
    </row>
    <row r="54" spans="1:19" ht="11.25" hidden="1" customHeight="1" x14ac:dyDescent="0.35">
      <c r="A54" s="357" t="s">
        <v>136</v>
      </c>
      <c r="B54" s="360" t="s">
        <v>77</v>
      </c>
      <c r="C54" s="372" t="str">
        <f>$C$16&amp;" "&amp;B54</f>
        <v>Imputed depreciation (straight line)</v>
      </c>
      <c r="D54" s="1186"/>
      <c r="E54" s="385" t="s">
        <v>137</v>
      </c>
      <c r="F54" s="961"/>
      <c r="G54" s="962"/>
      <c r="H54" s="962"/>
      <c r="I54" s="962"/>
      <c r="J54" s="962"/>
      <c r="K54" s="962"/>
      <c r="L54" s="962"/>
      <c r="M54" s="962"/>
      <c r="N54" s="962"/>
      <c r="O54" s="962"/>
      <c r="P54" s="962"/>
      <c r="Q54" s="407"/>
      <c r="R54" s="321" t="str">
        <f>IF(MID(S54,7,1)="D","  ","")</f>
        <v/>
      </c>
      <c r="S54" s="319" t="s">
        <v>71</v>
      </c>
    </row>
    <row r="55" spans="1:19" ht="11.25" hidden="1" customHeight="1" x14ac:dyDescent="0.35">
      <c r="A55" s="357" t="s">
        <v>138</v>
      </c>
      <c r="B55" s="363">
        <v>1</v>
      </c>
      <c r="C55" s="373" t="s">
        <v>90</v>
      </c>
      <c r="D55" s="1190"/>
      <c r="E55" s="385" t="s">
        <v>139</v>
      </c>
      <c r="F55" s="964"/>
      <c r="G55" s="965">
        <f ca="1">IF(OR(AND(G$5=0,NoZeroCol=1),AND(G$5=-99,NoResCol=1)),IF(G$5=0,OFFSET(InvInfo,$B49+30,0),SUM(OFFSET(G55,0,-1))),IF(G$5=0,OFFSET(InvInfo,$B49+30,0),SUM(OFFSET(G55,0,-1)))-OFFSET(G51,-2,0)+OFFSET(G55,-1,0)+G57)+IF(OFFSET(InvInfo,$B49+30,3)=1,OFFSET($E$963,$B49-1,G$8)-OFFSET($E$963,$B49-1,G$8-1),0)+IF(AND(OFFSET(InvInfo,$B49+30,4)=1,G$5=OFFSET(InvInfo,$B49+30,5)),$C56,0)+G$1178</f>
        <v>0</v>
      </c>
      <c r="H55" s="965">
        <f t="shared" ref="H55:Q55" ca="1" si="19">IF(OR(AND(H$5=0,NoZeroCol=1),AND(H$5=-99,NoResCol=1)),IF(H$5=0,OFFSET(InvInfo,$B49+30,0),SUM(OFFSET(H55,0,-1))),IF(H$5=0,OFFSET(InvInfo,$B49+30,0),SUM(OFFSET(H55,0,-1)))-OFFSET(H51,-2,0)+OFFSET(H55,-1,0)+H57)+IF(OFFSET(InvInfo,$B49+30,3)=1,OFFSET($E$963,$B49-1,H$8)-OFFSET($E$963,$B49-1,H$8-1),0)+IF(AND(OFFSET(InvInfo,$B49+30,4)=1,H$5=OFFSET(InvInfo,$B49+30,5)),$C56,0)+H$1178</f>
        <v>0</v>
      </c>
      <c r="I55" s="965">
        <f t="shared" ca="1" si="19"/>
        <v>0</v>
      </c>
      <c r="J55" s="965">
        <f t="shared" ca="1" si="19"/>
        <v>0</v>
      </c>
      <c r="K55" s="965">
        <f t="shared" ca="1" si="19"/>
        <v>0</v>
      </c>
      <c r="L55" s="965">
        <f t="shared" ca="1" si="19"/>
        <v>0</v>
      </c>
      <c r="M55" s="965">
        <f t="shared" ca="1" si="19"/>
        <v>0</v>
      </c>
      <c r="N55" s="965">
        <f t="shared" ca="1" si="19"/>
        <v>0</v>
      </c>
      <c r="O55" s="965">
        <f t="shared" ca="1" si="19"/>
        <v>0</v>
      </c>
      <c r="P55" s="965">
        <f t="shared" ca="1" si="19"/>
        <v>0</v>
      </c>
      <c r="Q55" s="963">
        <f t="shared" ca="1" si="19"/>
        <v>0</v>
      </c>
      <c r="R55" s="321" t="str">
        <f>IF(MID(S55,7,1)="D","  ","")</f>
        <v/>
      </c>
      <c r="S55" s="319" t="s">
        <v>82</v>
      </c>
    </row>
    <row r="56" spans="1:19" ht="11.25" hidden="1" customHeight="1" x14ac:dyDescent="0.35">
      <c r="A56" s="357" t="s">
        <v>140</v>
      </c>
      <c r="B56" s="360">
        <v>0</v>
      </c>
      <c r="C56" s="375">
        <f>C52</f>
        <v>0</v>
      </c>
      <c r="D56" s="1189">
        <v>1</v>
      </c>
      <c r="E56" s="1181" t="s">
        <v>141</v>
      </c>
      <c r="F56" s="370"/>
      <c r="G56" s="371"/>
      <c r="H56" s="371"/>
      <c r="I56" s="371"/>
      <c r="J56" s="371"/>
      <c r="K56" s="371"/>
      <c r="L56" s="371"/>
      <c r="M56" s="371"/>
      <c r="N56" s="371"/>
      <c r="O56" s="371"/>
      <c r="P56" s="371"/>
      <c r="Q56" s="368">
        <f ca="1">OFFSET(Q55,-6,0)</f>
        <v>0</v>
      </c>
      <c r="R56" s="321"/>
      <c r="S56" s="319" t="s">
        <v>40</v>
      </c>
    </row>
    <row r="57" spans="1:19" ht="11.25" hidden="1" customHeight="1" x14ac:dyDescent="0.35">
      <c r="A57" s="357" t="s">
        <v>142</v>
      </c>
      <c r="B57" s="360">
        <v>1</v>
      </c>
      <c r="C57" s="369" t="str">
        <f>""&amp;C53</f>
        <v/>
      </c>
      <c r="D57" s="1189">
        <v>1</v>
      </c>
      <c r="E57" s="1183" t="s">
        <v>143</v>
      </c>
      <c r="F57" s="370"/>
      <c r="G57" s="371"/>
      <c r="H57" s="371"/>
      <c r="I57" s="371"/>
      <c r="J57" s="371"/>
      <c r="K57" s="371"/>
      <c r="L57" s="371"/>
      <c r="M57" s="371"/>
      <c r="N57" s="371"/>
      <c r="O57" s="371"/>
      <c r="P57" s="371"/>
      <c r="Q57" s="371">
        <f ca="1">IF(NOT(ISBLANK(OFFSET(Q55,-6,0))),OFFSET(Q55,-6,0)-OFFSET(Q55,0,-1),0)</f>
        <v>0</v>
      </c>
      <c r="R57" s="321"/>
      <c r="S57" s="319" t="s">
        <v>40</v>
      </c>
    </row>
    <row r="58" spans="1:19" ht="11.25" hidden="1" customHeight="1" x14ac:dyDescent="0.35">
      <c r="A58" s="353">
        <v>0</v>
      </c>
      <c r="B58" s="354"/>
      <c r="C58" s="355"/>
      <c r="D58" s="1184"/>
      <c r="E58" s="1180" t="s">
        <v>144</v>
      </c>
      <c r="F58" s="317"/>
      <c r="G58" s="356"/>
      <c r="H58" s="356"/>
      <c r="I58" s="356"/>
      <c r="J58" s="356"/>
      <c r="K58" s="356"/>
      <c r="L58" s="356"/>
      <c r="M58" s="356"/>
      <c r="N58" s="356"/>
      <c r="O58" s="356"/>
      <c r="P58" s="356"/>
      <c r="Q58" s="356"/>
      <c r="R58" s="321"/>
      <c r="S58" s="319" t="s">
        <v>145</v>
      </c>
    </row>
    <row r="59" spans="1:19" ht="11.25" hidden="1" customHeight="1" x14ac:dyDescent="0.35">
      <c r="A59" s="357" t="s">
        <v>146</v>
      </c>
      <c r="B59" s="358">
        <v>5</v>
      </c>
      <c r="C59" s="359"/>
      <c r="D59" s="1185"/>
      <c r="E59" s="380" t="s">
        <v>147</v>
      </c>
      <c r="F59" s="959"/>
      <c r="G59" s="960"/>
      <c r="H59" s="960"/>
      <c r="I59" s="960"/>
      <c r="J59" s="960"/>
      <c r="K59" s="960"/>
      <c r="L59" s="960"/>
      <c r="M59" s="960"/>
      <c r="N59" s="960"/>
      <c r="O59" s="960"/>
      <c r="P59" s="960"/>
      <c r="Q59" s="957">
        <f ca="1">OFFSET(Q59,2,-1)</f>
        <v>0</v>
      </c>
      <c r="R59" s="321" t="str">
        <f>IF(MID(S59,7,1)="D","  ","")</f>
        <v/>
      </c>
      <c r="S59" s="319" t="s">
        <v>145</v>
      </c>
    </row>
    <row r="60" spans="1:19" ht="11.25" hidden="1" customHeight="1" x14ac:dyDescent="0.35">
      <c r="A60" s="357" t="s">
        <v>149</v>
      </c>
      <c r="B60" s="360" t="s">
        <v>77</v>
      </c>
      <c r="C60" s="361" t="str">
        <f ca="1">SpecsTxt!$G$12&amp;" "&amp;B60</f>
        <v>Depreciation (straight line)</v>
      </c>
      <c r="D60" s="1186"/>
      <c r="E60" s="385" t="s">
        <v>150</v>
      </c>
      <c r="F60" s="961"/>
      <c r="G60" s="962"/>
      <c r="H60" s="962"/>
      <c r="I60" s="962"/>
      <c r="J60" s="962"/>
      <c r="K60" s="962"/>
      <c r="L60" s="962"/>
      <c r="M60" s="962"/>
      <c r="N60" s="962"/>
      <c r="O60" s="962"/>
      <c r="P60" s="962"/>
      <c r="Q60" s="407"/>
      <c r="R60" s="321" t="str">
        <f>IF(MID(S60,7,1)="D","  ","")</f>
        <v/>
      </c>
      <c r="S60" s="319" t="s">
        <v>145</v>
      </c>
    </row>
    <row r="61" spans="1:19" ht="11.25" hidden="1" customHeight="1" x14ac:dyDescent="0.35">
      <c r="A61" s="357" t="s">
        <v>151</v>
      </c>
      <c r="B61" s="363">
        <v>1</v>
      </c>
      <c r="C61" s="364" t="s">
        <v>80</v>
      </c>
      <c r="D61" s="1187"/>
      <c r="E61" s="385" t="s">
        <v>152</v>
      </c>
      <c r="F61" s="961"/>
      <c r="G61" s="962">
        <f ca="1">IF(OR(AND(G$5=0,NoZeroCol=1),AND(G$5=-99,NoResCol=1)),IF(G$5=0,OFFSET(InvInfo,$B59,0),SUM(OFFSET(G61,0,-1))),IF(G$5=0,OFFSET(InvInfo,$B59,0),SUM(OFFSET(G61,0,-1)))-OFFSET(G61,-2,0)+OFFSET(G61,-1,0)+G63)+IF(OFFSET(InvInfo,$B59,3)=1,OFFSET($E$933,$B59-1,G$8)-OFFSET($E$933,$B59-1,G$8-1),0)+IF(AND(OFFSET(InvInfo,$B59,4)=1,G$5=OFFSET(InvInfo,$B59,5)),$C62,0)+G$1179</f>
        <v>0</v>
      </c>
      <c r="H61" s="962">
        <f t="shared" ref="H61:Q61" ca="1" si="20">IF(OR(AND(H$5=0,NoZeroCol=1),AND(H$5=-99,NoResCol=1)),IF(H$5=0,OFFSET(InvInfo,$B59,0),SUM(OFFSET(H61,0,-1))),IF(H$5=0,OFFSET(InvInfo,$B59,0),SUM(OFFSET(H61,0,-1)))-OFFSET(H61,-2,0)+OFFSET(H61,-1,0)+H63)+IF(OFFSET(InvInfo,$B59,3)=1,OFFSET($E$933,$B59-1,H$8)-OFFSET($E$933,$B59-1,H$8-1),0)+IF(AND(OFFSET(InvInfo,$B59,4)=1,H$5=OFFSET(InvInfo,$B59,5)),$C62,0)+H$1179</f>
        <v>0</v>
      </c>
      <c r="I61" s="962">
        <f t="shared" ca="1" si="20"/>
        <v>0</v>
      </c>
      <c r="J61" s="962">
        <f t="shared" ca="1" si="20"/>
        <v>0</v>
      </c>
      <c r="K61" s="962">
        <f t="shared" ca="1" si="20"/>
        <v>0</v>
      </c>
      <c r="L61" s="962">
        <f t="shared" ca="1" si="20"/>
        <v>0</v>
      </c>
      <c r="M61" s="962">
        <f t="shared" ca="1" si="20"/>
        <v>0</v>
      </c>
      <c r="N61" s="962">
        <f t="shared" ca="1" si="20"/>
        <v>0</v>
      </c>
      <c r="O61" s="962">
        <f t="shared" ca="1" si="20"/>
        <v>0</v>
      </c>
      <c r="P61" s="962">
        <f t="shared" ca="1" si="20"/>
        <v>0</v>
      </c>
      <c r="Q61" s="407">
        <f t="shared" ca="1" si="20"/>
        <v>0</v>
      </c>
      <c r="R61" s="321" t="str">
        <f>IF(MID(S61,7,1)="D","  ","")</f>
        <v/>
      </c>
      <c r="S61" s="319" t="s">
        <v>229</v>
      </c>
    </row>
    <row r="62" spans="1:19" ht="11.25" hidden="1" customHeight="1" x14ac:dyDescent="0.35">
      <c r="A62" s="357" t="s">
        <v>153</v>
      </c>
      <c r="B62" s="365">
        <v>1</v>
      </c>
      <c r="C62" s="366">
        <v>0</v>
      </c>
      <c r="D62" s="1188">
        <v>1</v>
      </c>
      <c r="E62" s="1181" t="s">
        <v>154</v>
      </c>
      <c r="F62" s="367"/>
      <c r="G62" s="368"/>
      <c r="H62" s="368"/>
      <c r="I62" s="368"/>
      <c r="J62" s="368"/>
      <c r="K62" s="368"/>
      <c r="L62" s="368"/>
      <c r="M62" s="368"/>
      <c r="N62" s="368"/>
      <c r="O62" s="368"/>
      <c r="P62" s="368"/>
      <c r="Q62" s="368">
        <f ca="1">OFFSET(Q61,-2,0)</f>
        <v>0</v>
      </c>
      <c r="R62" s="321"/>
      <c r="S62" s="319" t="s">
        <v>40</v>
      </c>
    </row>
    <row r="63" spans="1:19" ht="11.25" hidden="1" customHeight="1" x14ac:dyDescent="0.35">
      <c r="A63" s="357" t="s">
        <v>155</v>
      </c>
      <c r="B63" s="360">
        <v>1</v>
      </c>
      <c r="C63" s="369"/>
      <c r="D63" s="1189">
        <v>1</v>
      </c>
      <c r="E63" s="1182" t="s">
        <v>156</v>
      </c>
      <c r="F63" s="370"/>
      <c r="G63" s="371"/>
      <c r="H63" s="371"/>
      <c r="I63" s="371"/>
      <c r="J63" s="371"/>
      <c r="K63" s="371"/>
      <c r="L63" s="371"/>
      <c r="M63" s="371"/>
      <c r="N63" s="371"/>
      <c r="O63" s="371"/>
      <c r="P63" s="371"/>
      <c r="Q63" s="371">
        <f ca="1">IF(NOT(ISBLANK(OFFSET(Q61,-2,0))),OFFSET(Q61,-2,0)-OFFSET(Q61,0,-1),0)</f>
        <v>0</v>
      </c>
      <c r="R63" s="321"/>
      <c r="S63" s="319" t="s">
        <v>40</v>
      </c>
    </row>
    <row r="64" spans="1:19" ht="11.25" hidden="1" customHeight="1" x14ac:dyDescent="0.35">
      <c r="A64" s="357" t="s">
        <v>157</v>
      </c>
      <c r="B64" s="360" t="s">
        <v>77</v>
      </c>
      <c r="C64" s="372" t="str">
        <f>$C$16&amp;" "&amp;B64</f>
        <v>Imputed depreciation (straight line)</v>
      </c>
      <c r="D64" s="1186"/>
      <c r="E64" s="385" t="s">
        <v>158</v>
      </c>
      <c r="F64" s="961"/>
      <c r="G64" s="962"/>
      <c r="H64" s="962"/>
      <c r="I64" s="962"/>
      <c r="J64" s="962"/>
      <c r="K64" s="962"/>
      <c r="L64" s="962"/>
      <c r="M64" s="962"/>
      <c r="N64" s="962"/>
      <c r="O64" s="962"/>
      <c r="P64" s="962"/>
      <c r="Q64" s="407"/>
      <c r="R64" s="321" t="str">
        <f>IF(MID(S64,7,1)="D","  ","")</f>
        <v/>
      </c>
      <c r="S64" s="319" t="s">
        <v>145</v>
      </c>
    </row>
    <row r="65" spans="1:19" ht="11.25" hidden="1" customHeight="1" x14ac:dyDescent="0.35">
      <c r="A65" s="357" t="s">
        <v>159</v>
      </c>
      <c r="B65" s="363">
        <v>1</v>
      </c>
      <c r="C65" s="373" t="s">
        <v>90</v>
      </c>
      <c r="D65" s="1190"/>
      <c r="E65" s="385" t="s">
        <v>160</v>
      </c>
      <c r="F65" s="964"/>
      <c r="G65" s="965">
        <f ca="1">IF(OR(AND(G$5=0,NoZeroCol=1),AND(G$5=-99,NoResCol=1)),IF(G$5=0,OFFSET(InvInfo,$B59+30,0),SUM(OFFSET(G65,0,-1))),IF(G$5=0,OFFSET(InvInfo,$B59+30,0),SUM(OFFSET(G65,0,-1)))-OFFSET(G61,-2,0)+OFFSET(G65,-1,0)+G67)+IF(OFFSET(InvInfo,$B59+30,3)=1,OFFSET($E$963,$B59-1,G$8)-OFFSET($E$963,$B59-1,G$8-1),0)+IF(AND(OFFSET(InvInfo,$B59+30,4)=1,G$5=OFFSET(InvInfo,$B59+30,5)),$C66,0)+G$1179</f>
        <v>0</v>
      </c>
      <c r="H65" s="965">
        <f t="shared" ref="H65:Q65" ca="1" si="21">IF(OR(AND(H$5=0,NoZeroCol=1),AND(H$5=-99,NoResCol=1)),IF(H$5=0,OFFSET(InvInfo,$B59+30,0),SUM(OFFSET(H65,0,-1))),IF(H$5=0,OFFSET(InvInfo,$B59+30,0),SUM(OFFSET(H65,0,-1)))-OFFSET(H61,-2,0)+OFFSET(H65,-1,0)+H67)+IF(OFFSET(InvInfo,$B59+30,3)=1,OFFSET($E$963,$B59-1,H$8)-OFFSET($E$963,$B59-1,H$8-1),0)+IF(AND(OFFSET(InvInfo,$B59+30,4)=1,H$5=OFFSET(InvInfo,$B59+30,5)),$C66,0)+H$1179</f>
        <v>0</v>
      </c>
      <c r="I65" s="965">
        <f t="shared" ca="1" si="21"/>
        <v>0</v>
      </c>
      <c r="J65" s="965">
        <f t="shared" ca="1" si="21"/>
        <v>0</v>
      </c>
      <c r="K65" s="965">
        <f t="shared" ca="1" si="21"/>
        <v>0</v>
      </c>
      <c r="L65" s="965">
        <f t="shared" ca="1" si="21"/>
        <v>0</v>
      </c>
      <c r="M65" s="965">
        <f t="shared" ca="1" si="21"/>
        <v>0</v>
      </c>
      <c r="N65" s="965">
        <f t="shared" ca="1" si="21"/>
        <v>0</v>
      </c>
      <c r="O65" s="965">
        <f t="shared" ca="1" si="21"/>
        <v>0</v>
      </c>
      <c r="P65" s="965">
        <f t="shared" ca="1" si="21"/>
        <v>0</v>
      </c>
      <c r="Q65" s="963">
        <f t="shared" ca="1" si="21"/>
        <v>0</v>
      </c>
      <c r="R65" s="321" t="str">
        <f>IF(MID(S65,7,1)="D","  ","")</f>
        <v/>
      </c>
      <c r="S65" s="319" t="s">
        <v>229</v>
      </c>
    </row>
    <row r="66" spans="1:19" ht="11.25" hidden="1" customHeight="1" x14ac:dyDescent="0.35">
      <c r="A66" s="357" t="s">
        <v>161</v>
      </c>
      <c r="B66" s="360">
        <v>0</v>
      </c>
      <c r="C66" s="375">
        <f>C62</f>
        <v>0</v>
      </c>
      <c r="D66" s="1189">
        <v>1</v>
      </c>
      <c r="E66" s="1181" t="s">
        <v>162</v>
      </c>
      <c r="F66" s="370"/>
      <c r="G66" s="371"/>
      <c r="H66" s="371"/>
      <c r="I66" s="371"/>
      <c r="J66" s="371"/>
      <c r="K66" s="371"/>
      <c r="L66" s="371"/>
      <c r="M66" s="371"/>
      <c r="N66" s="371"/>
      <c r="O66" s="371"/>
      <c r="P66" s="371"/>
      <c r="Q66" s="368">
        <f ca="1">OFFSET(Q65,-6,0)</f>
        <v>0</v>
      </c>
      <c r="R66" s="321"/>
      <c r="S66" s="319" t="s">
        <v>40</v>
      </c>
    </row>
    <row r="67" spans="1:19" ht="11.25" hidden="1" customHeight="1" x14ac:dyDescent="0.35">
      <c r="A67" s="357" t="s">
        <v>163</v>
      </c>
      <c r="B67" s="360">
        <v>1</v>
      </c>
      <c r="C67" s="369" t="str">
        <f>""&amp;C63</f>
        <v/>
      </c>
      <c r="D67" s="1189">
        <v>1</v>
      </c>
      <c r="E67" s="1183" t="s">
        <v>164</v>
      </c>
      <c r="F67" s="370"/>
      <c r="G67" s="371"/>
      <c r="H67" s="371"/>
      <c r="I67" s="371"/>
      <c r="J67" s="371"/>
      <c r="K67" s="371"/>
      <c r="L67" s="371"/>
      <c r="M67" s="371"/>
      <c r="N67" s="371"/>
      <c r="O67" s="371"/>
      <c r="P67" s="371"/>
      <c r="Q67" s="371">
        <f ca="1">IF(NOT(ISBLANK(OFFSET(Q65,-6,0))),OFFSET(Q65,-6,0)-OFFSET(Q65,0,-1),0)</f>
        <v>0</v>
      </c>
      <c r="R67" s="321"/>
      <c r="S67" s="319" t="s">
        <v>40</v>
      </c>
    </row>
    <row r="68" spans="1:19" ht="11.25" hidden="1" customHeight="1" x14ac:dyDescent="0.35">
      <c r="A68" s="353">
        <v>0</v>
      </c>
      <c r="B68" s="354"/>
      <c r="C68" s="355"/>
      <c r="D68" s="1184"/>
      <c r="E68" s="1180" t="s">
        <v>165</v>
      </c>
      <c r="F68" s="317"/>
      <c r="G68" s="356"/>
      <c r="H68" s="356"/>
      <c r="I68" s="356"/>
      <c r="J68" s="356"/>
      <c r="K68" s="356"/>
      <c r="L68" s="356"/>
      <c r="M68" s="356"/>
      <c r="N68" s="356"/>
      <c r="O68" s="356"/>
      <c r="P68" s="356"/>
      <c r="Q68" s="356"/>
      <c r="R68" s="321"/>
      <c r="S68" s="319" t="s">
        <v>145</v>
      </c>
    </row>
    <row r="69" spans="1:19" ht="11.25" hidden="1" customHeight="1" x14ac:dyDescent="0.35">
      <c r="A69" s="357" t="s">
        <v>166</v>
      </c>
      <c r="B69" s="358">
        <v>6</v>
      </c>
      <c r="C69" s="359"/>
      <c r="D69" s="1185"/>
      <c r="E69" s="380" t="s">
        <v>167</v>
      </c>
      <c r="F69" s="959"/>
      <c r="G69" s="960"/>
      <c r="H69" s="960"/>
      <c r="I69" s="960"/>
      <c r="J69" s="960"/>
      <c r="K69" s="960"/>
      <c r="L69" s="960"/>
      <c r="M69" s="960"/>
      <c r="N69" s="960"/>
      <c r="O69" s="960"/>
      <c r="P69" s="960"/>
      <c r="Q69" s="957">
        <f ca="1">OFFSET(Q69,2,-1)</f>
        <v>0</v>
      </c>
      <c r="R69" s="321" t="str">
        <f>IF(MID(S69,7,1)="D","  ","")</f>
        <v/>
      </c>
      <c r="S69" s="319" t="s">
        <v>145</v>
      </c>
    </row>
    <row r="70" spans="1:19" ht="11.25" hidden="1" customHeight="1" x14ac:dyDescent="0.35">
      <c r="A70" s="357" t="s">
        <v>168</v>
      </c>
      <c r="B70" s="360" t="s">
        <v>77</v>
      </c>
      <c r="C70" s="361" t="str">
        <f ca="1">SpecsTxt!$G$12&amp;" "&amp;B70</f>
        <v>Depreciation (straight line)</v>
      </c>
      <c r="D70" s="1186"/>
      <c r="E70" s="385" t="s">
        <v>169</v>
      </c>
      <c r="F70" s="961"/>
      <c r="G70" s="962"/>
      <c r="H70" s="962"/>
      <c r="I70" s="962"/>
      <c r="J70" s="962"/>
      <c r="K70" s="962"/>
      <c r="L70" s="962"/>
      <c r="M70" s="962"/>
      <c r="N70" s="962"/>
      <c r="O70" s="962"/>
      <c r="P70" s="962"/>
      <c r="Q70" s="407"/>
      <c r="R70" s="321" t="str">
        <f>IF(MID(S70,7,1)="D","  ","")</f>
        <v/>
      </c>
      <c r="S70" s="319" t="s">
        <v>145</v>
      </c>
    </row>
    <row r="71" spans="1:19" ht="11.25" hidden="1" customHeight="1" x14ac:dyDescent="0.35">
      <c r="A71" s="357" t="s">
        <v>170</v>
      </c>
      <c r="B71" s="363">
        <v>1</v>
      </c>
      <c r="C71" s="364" t="s">
        <v>80</v>
      </c>
      <c r="D71" s="1187"/>
      <c r="E71" s="385" t="s">
        <v>171</v>
      </c>
      <c r="F71" s="961"/>
      <c r="G71" s="962">
        <f ca="1">IF(OR(AND(G$5=0,NoZeroCol=1),AND(G$5=-99,NoResCol=1)),IF(G$5=0,OFFSET(InvInfo,$B69,0),SUM(OFFSET(G71,0,-1))),IF(G$5=0,OFFSET(InvInfo,$B69,0),SUM(OFFSET(G71,0,-1)))-OFFSET(G71,-2,0)+OFFSET(G71,-1,0)+G73)+IF(OFFSET(InvInfo,$B69,3)=1,OFFSET($E$933,$B69-1,G$8)-OFFSET($E$933,$B69-1,G$8-1),0)+IF(AND(OFFSET(InvInfo,$B69,4)=1,G$5=OFFSET(InvInfo,$B69,5)),$C72,0)+G$1180</f>
        <v>0</v>
      </c>
      <c r="H71" s="962">
        <f t="shared" ref="H71:Q71" ca="1" si="22">IF(OR(AND(H$5=0,NoZeroCol=1),AND(H$5=-99,NoResCol=1)),IF(H$5=0,OFFSET(InvInfo,$B69,0),SUM(OFFSET(H71,0,-1))),IF(H$5=0,OFFSET(InvInfo,$B69,0),SUM(OFFSET(H71,0,-1)))-OFFSET(H71,-2,0)+OFFSET(H71,-1,0)+H73)+IF(OFFSET(InvInfo,$B69,3)=1,OFFSET($E$933,$B69-1,H$8)-OFFSET($E$933,$B69-1,H$8-1),0)+IF(AND(OFFSET(InvInfo,$B69,4)=1,H$5=OFFSET(InvInfo,$B69,5)),$C72,0)+H$1180</f>
        <v>0</v>
      </c>
      <c r="I71" s="962">
        <f t="shared" ca="1" si="22"/>
        <v>0</v>
      </c>
      <c r="J71" s="962">
        <f t="shared" ca="1" si="22"/>
        <v>0</v>
      </c>
      <c r="K71" s="962">
        <f t="shared" ca="1" si="22"/>
        <v>0</v>
      </c>
      <c r="L71" s="962">
        <f t="shared" ca="1" si="22"/>
        <v>0</v>
      </c>
      <c r="M71" s="962">
        <f t="shared" ca="1" si="22"/>
        <v>0</v>
      </c>
      <c r="N71" s="962">
        <f t="shared" ca="1" si="22"/>
        <v>0</v>
      </c>
      <c r="O71" s="962">
        <f t="shared" ca="1" si="22"/>
        <v>0</v>
      </c>
      <c r="P71" s="962">
        <f t="shared" ca="1" si="22"/>
        <v>0</v>
      </c>
      <c r="Q71" s="407">
        <f t="shared" ca="1" si="22"/>
        <v>0</v>
      </c>
      <c r="R71" s="321" t="str">
        <f>IF(MID(S71,7,1)="D","  ","")</f>
        <v/>
      </c>
      <c r="S71" s="319" t="s">
        <v>229</v>
      </c>
    </row>
    <row r="72" spans="1:19" ht="11.25" hidden="1" customHeight="1" x14ac:dyDescent="0.35">
      <c r="A72" s="357" t="s">
        <v>172</v>
      </c>
      <c r="B72" s="365">
        <v>1</v>
      </c>
      <c r="C72" s="366">
        <v>0</v>
      </c>
      <c r="D72" s="1188">
        <v>1</v>
      </c>
      <c r="E72" s="1181" t="s">
        <v>173</v>
      </c>
      <c r="F72" s="367"/>
      <c r="G72" s="368"/>
      <c r="H72" s="368"/>
      <c r="I72" s="368"/>
      <c r="J72" s="368"/>
      <c r="K72" s="368"/>
      <c r="L72" s="368"/>
      <c r="M72" s="368"/>
      <c r="N72" s="368"/>
      <c r="O72" s="368"/>
      <c r="P72" s="368"/>
      <c r="Q72" s="368">
        <f ca="1">OFFSET(Q71,-2,0)</f>
        <v>0</v>
      </c>
      <c r="R72" s="321"/>
      <c r="S72" s="319" t="s">
        <v>40</v>
      </c>
    </row>
    <row r="73" spans="1:19" ht="11.25" hidden="1" customHeight="1" x14ac:dyDescent="0.35">
      <c r="A73" s="357" t="s">
        <v>174</v>
      </c>
      <c r="B73" s="360">
        <v>1</v>
      </c>
      <c r="C73" s="369"/>
      <c r="D73" s="1189">
        <v>1</v>
      </c>
      <c r="E73" s="1182" t="s">
        <v>175</v>
      </c>
      <c r="F73" s="370"/>
      <c r="G73" s="371"/>
      <c r="H73" s="371"/>
      <c r="I73" s="371"/>
      <c r="J73" s="371"/>
      <c r="K73" s="371"/>
      <c r="L73" s="371"/>
      <c r="M73" s="371"/>
      <c r="N73" s="371"/>
      <c r="O73" s="371"/>
      <c r="P73" s="371"/>
      <c r="Q73" s="371">
        <f ca="1">IF(NOT(ISBLANK(OFFSET(Q71,-2,0))),OFFSET(Q71,-2,0)-OFFSET(Q71,0,-1),0)</f>
        <v>0</v>
      </c>
      <c r="R73" s="321"/>
      <c r="S73" s="319" t="s">
        <v>40</v>
      </c>
    </row>
    <row r="74" spans="1:19" ht="11.25" hidden="1" customHeight="1" x14ac:dyDescent="0.35">
      <c r="A74" s="357" t="s">
        <v>176</v>
      </c>
      <c r="B74" s="360" t="s">
        <v>77</v>
      </c>
      <c r="C74" s="372" t="str">
        <f>$C$16&amp;" "&amp;B74</f>
        <v>Imputed depreciation (straight line)</v>
      </c>
      <c r="D74" s="1186"/>
      <c r="E74" s="385" t="s">
        <v>177</v>
      </c>
      <c r="F74" s="961"/>
      <c r="G74" s="962"/>
      <c r="H74" s="962"/>
      <c r="I74" s="962"/>
      <c r="J74" s="962"/>
      <c r="K74" s="962"/>
      <c r="L74" s="962"/>
      <c r="M74" s="962"/>
      <c r="N74" s="962"/>
      <c r="O74" s="962"/>
      <c r="P74" s="962"/>
      <c r="Q74" s="407"/>
      <c r="R74" s="321" t="str">
        <f>IF(MID(S74,7,1)="D","  ","")</f>
        <v/>
      </c>
      <c r="S74" s="319" t="s">
        <v>145</v>
      </c>
    </row>
    <row r="75" spans="1:19" ht="11.25" hidden="1" customHeight="1" x14ac:dyDescent="0.35">
      <c r="A75" s="357" t="s">
        <v>178</v>
      </c>
      <c r="B75" s="363">
        <v>1</v>
      </c>
      <c r="C75" s="373" t="s">
        <v>90</v>
      </c>
      <c r="D75" s="1190"/>
      <c r="E75" s="385" t="s">
        <v>179</v>
      </c>
      <c r="F75" s="964"/>
      <c r="G75" s="965">
        <f ca="1">IF(OR(AND(G$5=0,NoZeroCol=1),AND(G$5=-99,NoResCol=1)),IF(G$5=0,OFFSET(InvInfo,$B69+30,0),SUM(OFFSET(G75,0,-1))),IF(G$5=0,OFFSET(InvInfo,$B69+30,0),SUM(OFFSET(G75,0,-1)))-OFFSET(G71,-2,0)+OFFSET(G75,-1,0)+G77)+IF(OFFSET(InvInfo,$B69+30,3)=1,OFFSET($E$963,$B69-1,G$8)-OFFSET($E$963,$B69-1,G$8-1),0)+IF(AND(OFFSET(InvInfo,$B69+30,4)=1,G$5=OFFSET(InvInfo,$B69+30,5)),$C76,0)+G$1180</f>
        <v>0</v>
      </c>
      <c r="H75" s="965">
        <f t="shared" ref="H75:Q75" ca="1" si="23">IF(OR(AND(H$5=0,NoZeroCol=1),AND(H$5=-99,NoResCol=1)),IF(H$5=0,OFFSET(InvInfo,$B69+30,0),SUM(OFFSET(H75,0,-1))),IF(H$5=0,OFFSET(InvInfo,$B69+30,0),SUM(OFFSET(H75,0,-1)))-OFFSET(H71,-2,0)+OFFSET(H75,-1,0)+H77)+IF(OFFSET(InvInfo,$B69+30,3)=1,OFFSET($E$963,$B69-1,H$8)-OFFSET($E$963,$B69-1,H$8-1),0)+IF(AND(OFFSET(InvInfo,$B69+30,4)=1,H$5=OFFSET(InvInfo,$B69+30,5)),$C76,0)+H$1180</f>
        <v>0</v>
      </c>
      <c r="I75" s="965">
        <f t="shared" ca="1" si="23"/>
        <v>0</v>
      </c>
      <c r="J75" s="965">
        <f t="shared" ca="1" si="23"/>
        <v>0</v>
      </c>
      <c r="K75" s="965">
        <f t="shared" ca="1" si="23"/>
        <v>0</v>
      </c>
      <c r="L75" s="965">
        <f t="shared" ca="1" si="23"/>
        <v>0</v>
      </c>
      <c r="M75" s="965">
        <f t="shared" ca="1" si="23"/>
        <v>0</v>
      </c>
      <c r="N75" s="965">
        <f t="shared" ca="1" si="23"/>
        <v>0</v>
      </c>
      <c r="O75" s="965">
        <f t="shared" ca="1" si="23"/>
        <v>0</v>
      </c>
      <c r="P75" s="965">
        <f t="shared" ca="1" si="23"/>
        <v>0</v>
      </c>
      <c r="Q75" s="963">
        <f t="shared" ca="1" si="23"/>
        <v>0</v>
      </c>
      <c r="R75" s="321" t="str">
        <f>IF(MID(S75,7,1)="D","  ","")</f>
        <v/>
      </c>
      <c r="S75" s="319" t="s">
        <v>229</v>
      </c>
    </row>
    <row r="76" spans="1:19" ht="11.25" hidden="1" customHeight="1" x14ac:dyDescent="0.35">
      <c r="A76" s="357" t="s">
        <v>180</v>
      </c>
      <c r="B76" s="360">
        <v>0</v>
      </c>
      <c r="C76" s="375">
        <f>C72</f>
        <v>0</v>
      </c>
      <c r="D76" s="1189">
        <v>1</v>
      </c>
      <c r="E76" s="1181" t="s">
        <v>181</v>
      </c>
      <c r="F76" s="370"/>
      <c r="G76" s="371"/>
      <c r="H76" s="371"/>
      <c r="I76" s="371"/>
      <c r="J76" s="371"/>
      <c r="K76" s="371"/>
      <c r="L76" s="371"/>
      <c r="M76" s="371"/>
      <c r="N76" s="371"/>
      <c r="O76" s="371"/>
      <c r="P76" s="371"/>
      <c r="Q76" s="368">
        <f ca="1">OFFSET(Q75,-6,0)</f>
        <v>0</v>
      </c>
      <c r="R76" s="321"/>
      <c r="S76" s="319" t="s">
        <v>40</v>
      </c>
    </row>
    <row r="77" spans="1:19" ht="11.25" hidden="1" customHeight="1" x14ac:dyDescent="0.35">
      <c r="A77" s="357" t="s">
        <v>182</v>
      </c>
      <c r="B77" s="360">
        <v>1</v>
      </c>
      <c r="C77" s="369" t="str">
        <f>""&amp;C73</f>
        <v/>
      </c>
      <c r="D77" s="1189">
        <v>1</v>
      </c>
      <c r="E77" s="1183" t="s">
        <v>183</v>
      </c>
      <c r="F77" s="370"/>
      <c r="G77" s="371"/>
      <c r="H77" s="371"/>
      <c r="I77" s="371"/>
      <c r="J77" s="371"/>
      <c r="K77" s="371"/>
      <c r="L77" s="371"/>
      <c r="M77" s="371"/>
      <c r="N77" s="371"/>
      <c r="O77" s="371"/>
      <c r="P77" s="371"/>
      <c r="Q77" s="371">
        <f ca="1">IF(NOT(ISBLANK(OFFSET(Q75,-6,0))),OFFSET(Q75,-6,0)-OFFSET(Q75,0,-1),0)</f>
        <v>0</v>
      </c>
      <c r="R77" s="321"/>
      <c r="S77" s="319" t="s">
        <v>40</v>
      </c>
    </row>
    <row r="78" spans="1:19" ht="11.25" hidden="1" customHeight="1" x14ac:dyDescent="0.35">
      <c r="A78" s="353">
        <v>0</v>
      </c>
      <c r="B78" s="354"/>
      <c r="C78" s="355"/>
      <c r="D78" s="1184"/>
      <c r="E78" s="1180" t="s">
        <v>184</v>
      </c>
      <c r="F78" s="317"/>
      <c r="G78" s="356"/>
      <c r="H78" s="356"/>
      <c r="I78" s="356"/>
      <c r="J78" s="356"/>
      <c r="K78" s="356"/>
      <c r="L78" s="356"/>
      <c r="M78" s="356"/>
      <c r="N78" s="356"/>
      <c r="O78" s="356"/>
      <c r="P78" s="356"/>
      <c r="Q78" s="356"/>
      <c r="R78" s="321"/>
      <c r="S78" s="319" t="s">
        <v>145</v>
      </c>
    </row>
    <row r="79" spans="1:19" ht="11.25" hidden="1" customHeight="1" x14ac:dyDescent="0.35">
      <c r="A79" s="357" t="s">
        <v>185</v>
      </c>
      <c r="B79" s="358">
        <v>7</v>
      </c>
      <c r="C79" s="359"/>
      <c r="D79" s="1185"/>
      <c r="E79" s="380" t="s">
        <v>186</v>
      </c>
      <c r="F79" s="959"/>
      <c r="G79" s="960"/>
      <c r="H79" s="960"/>
      <c r="I79" s="960"/>
      <c r="J79" s="960"/>
      <c r="K79" s="960"/>
      <c r="L79" s="960"/>
      <c r="M79" s="960"/>
      <c r="N79" s="960"/>
      <c r="O79" s="960"/>
      <c r="P79" s="960"/>
      <c r="Q79" s="957">
        <f ca="1">OFFSET(Q79,2,-1)</f>
        <v>0</v>
      </c>
      <c r="R79" s="321" t="str">
        <f>IF(MID(S79,7,1)="D","  ","")</f>
        <v/>
      </c>
      <c r="S79" s="319" t="s">
        <v>145</v>
      </c>
    </row>
    <row r="80" spans="1:19" ht="11.25" hidden="1" customHeight="1" x14ac:dyDescent="0.35">
      <c r="A80" s="357" t="s">
        <v>187</v>
      </c>
      <c r="B80" s="360" t="s">
        <v>77</v>
      </c>
      <c r="C80" s="361" t="str">
        <f ca="1">SpecsTxt!$G$12&amp;" "&amp;B80</f>
        <v>Depreciation (straight line)</v>
      </c>
      <c r="D80" s="1186"/>
      <c r="E80" s="385" t="s">
        <v>188</v>
      </c>
      <c r="F80" s="961"/>
      <c r="G80" s="962"/>
      <c r="H80" s="962"/>
      <c r="I80" s="962"/>
      <c r="J80" s="962"/>
      <c r="K80" s="962"/>
      <c r="L80" s="962"/>
      <c r="M80" s="962"/>
      <c r="N80" s="962"/>
      <c r="O80" s="962"/>
      <c r="P80" s="962"/>
      <c r="Q80" s="407"/>
      <c r="R80" s="321" t="str">
        <f>IF(MID(S80,7,1)="D","  ","")</f>
        <v/>
      </c>
      <c r="S80" s="319" t="s">
        <v>145</v>
      </c>
    </row>
    <row r="81" spans="1:19" ht="11.25" hidden="1" customHeight="1" x14ac:dyDescent="0.35">
      <c r="A81" s="357" t="s">
        <v>189</v>
      </c>
      <c r="B81" s="363">
        <v>1</v>
      </c>
      <c r="C81" s="364" t="s">
        <v>80</v>
      </c>
      <c r="D81" s="1187"/>
      <c r="E81" s="385" t="s">
        <v>190</v>
      </c>
      <c r="F81" s="961"/>
      <c r="G81" s="962">
        <f ca="1">IF(OR(AND(G$5=0,NoZeroCol=1),AND(G$5=-99,NoResCol=1)),IF(G$5=0,OFFSET(InvInfo,$B79,0),SUM(OFFSET(G81,0,-1))),IF(G$5=0,OFFSET(InvInfo,$B79,0),SUM(OFFSET(G81,0,-1)))-OFFSET(G81,-2,0)+OFFSET(G81,-1,0)+G83)+IF(OFFSET(InvInfo,$B79,3)=1,OFFSET($E$933,$B79-1,G$8)-OFFSET($E$933,$B79-1,G$8-1),0)+IF(AND(OFFSET(InvInfo,$B79,4)=1,G$5=OFFSET(InvInfo,$B79,5)),$C82,0)+G$1181</f>
        <v>0</v>
      </c>
      <c r="H81" s="962">
        <f t="shared" ref="H81:Q81" ca="1" si="24">IF(OR(AND(H$5=0,NoZeroCol=1),AND(H$5=-99,NoResCol=1)),IF(H$5=0,OFFSET(InvInfo,$B79,0),SUM(OFFSET(H81,0,-1))),IF(H$5=0,OFFSET(InvInfo,$B79,0),SUM(OFFSET(H81,0,-1)))-OFFSET(H81,-2,0)+OFFSET(H81,-1,0)+H83)+IF(OFFSET(InvInfo,$B79,3)=1,OFFSET($E$933,$B79-1,H$8)-OFFSET($E$933,$B79-1,H$8-1),0)+IF(AND(OFFSET(InvInfo,$B79,4)=1,H$5=OFFSET(InvInfo,$B79,5)),$C82,0)+H$1181</f>
        <v>0</v>
      </c>
      <c r="I81" s="962">
        <f t="shared" ca="1" si="24"/>
        <v>0</v>
      </c>
      <c r="J81" s="962">
        <f t="shared" ca="1" si="24"/>
        <v>0</v>
      </c>
      <c r="K81" s="962">
        <f t="shared" ca="1" si="24"/>
        <v>0</v>
      </c>
      <c r="L81" s="962">
        <f t="shared" ca="1" si="24"/>
        <v>0</v>
      </c>
      <c r="M81" s="962">
        <f t="shared" ca="1" si="24"/>
        <v>0</v>
      </c>
      <c r="N81" s="962">
        <f t="shared" ca="1" si="24"/>
        <v>0</v>
      </c>
      <c r="O81" s="962">
        <f t="shared" ca="1" si="24"/>
        <v>0</v>
      </c>
      <c r="P81" s="962">
        <f t="shared" ca="1" si="24"/>
        <v>0</v>
      </c>
      <c r="Q81" s="407">
        <f t="shared" ca="1" si="24"/>
        <v>0</v>
      </c>
      <c r="R81" s="321" t="str">
        <f>IF(MID(S81,7,1)="D","  ","")</f>
        <v/>
      </c>
      <c r="S81" s="319" t="s">
        <v>229</v>
      </c>
    </row>
    <row r="82" spans="1:19" ht="11.25" hidden="1" customHeight="1" x14ac:dyDescent="0.35">
      <c r="A82" s="357" t="s">
        <v>191</v>
      </c>
      <c r="B82" s="365">
        <v>1</v>
      </c>
      <c r="C82" s="366">
        <v>0</v>
      </c>
      <c r="D82" s="1188">
        <v>1</v>
      </c>
      <c r="E82" s="1181" t="s">
        <v>192</v>
      </c>
      <c r="F82" s="367"/>
      <c r="G82" s="368"/>
      <c r="H82" s="368"/>
      <c r="I82" s="368"/>
      <c r="J82" s="368"/>
      <c r="K82" s="368"/>
      <c r="L82" s="368"/>
      <c r="M82" s="368"/>
      <c r="N82" s="368"/>
      <c r="O82" s="368"/>
      <c r="P82" s="368"/>
      <c r="Q82" s="368">
        <f ca="1">OFFSET(Q81,-2,0)</f>
        <v>0</v>
      </c>
      <c r="R82" s="321"/>
      <c r="S82" s="319" t="s">
        <v>40</v>
      </c>
    </row>
    <row r="83" spans="1:19" ht="11.25" hidden="1" customHeight="1" x14ac:dyDescent="0.35">
      <c r="A83" s="357" t="s">
        <v>193</v>
      </c>
      <c r="B83" s="360">
        <v>1</v>
      </c>
      <c r="C83" s="369"/>
      <c r="D83" s="1189">
        <v>1</v>
      </c>
      <c r="E83" s="1182" t="s">
        <v>194</v>
      </c>
      <c r="F83" s="370"/>
      <c r="G83" s="371"/>
      <c r="H83" s="371"/>
      <c r="I83" s="371"/>
      <c r="J83" s="371"/>
      <c r="K83" s="371"/>
      <c r="L83" s="371"/>
      <c r="M83" s="371"/>
      <c r="N83" s="371"/>
      <c r="O83" s="371"/>
      <c r="P83" s="371"/>
      <c r="Q83" s="371">
        <f ca="1">IF(NOT(ISBLANK(OFFSET(Q81,-2,0))),OFFSET(Q81,-2,0)-OFFSET(Q81,0,-1),0)</f>
        <v>0</v>
      </c>
      <c r="R83" s="321"/>
      <c r="S83" s="319" t="s">
        <v>40</v>
      </c>
    </row>
    <row r="84" spans="1:19" ht="11.25" hidden="1" customHeight="1" x14ac:dyDescent="0.35">
      <c r="A84" s="357" t="s">
        <v>195</v>
      </c>
      <c r="B84" s="360" t="s">
        <v>77</v>
      </c>
      <c r="C84" s="372" t="str">
        <f>$C$16&amp;" "&amp;B84</f>
        <v>Imputed depreciation (straight line)</v>
      </c>
      <c r="D84" s="1186"/>
      <c r="E84" s="385" t="s">
        <v>196</v>
      </c>
      <c r="F84" s="961"/>
      <c r="G84" s="962"/>
      <c r="H84" s="962"/>
      <c r="I84" s="962"/>
      <c r="J84" s="962"/>
      <c r="K84" s="962"/>
      <c r="L84" s="962"/>
      <c r="M84" s="962"/>
      <c r="N84" s="962"/>
      <c r="O84" s="962"/>
      <c r="P84" s="962"/>
      <c r="Q84" s="407"/>
      <c r="R84" s="321" t="str">
        <f>IF(MID(S84,7,1)="D","  ","")</f>
        <v/>
      </c>
      <c r="S84" s="319" t="s">
        <v>145</v>
      </c>
    </row>
    <row r="85" spans="1:19" ht="11.25" hidden="1" customHeight="1" x14ac:dyDescent="0.35">
      <c r="A85" s="357" t="s">
        <v>197</v>
      </c>
      <c r="B85" s="363">
        <v>1</v>
      </c>
      <c r="C85" s="373" t="s">
        <v>90</v>
      </c>
      <c r="D85" s="1190"/>
      <c r="E85" s="385" t="s">
        <v>198</v>
      </c>
      <c r="F85" s="964"/>
      <c r="G85" s="965">
        <f ca="1">IF(OR(AND(G$5=0,NoZeroCol=1),AND(G$5=-99,NoResCol=1)),IF(G$5=0,OFFSET(InvInfo,$B79+30,0),SUM(OFFSET(G85,0,-1))),IF(G$5=0,OFFSET(InvInfo,$B79+30,0),SUM(OFFSET(G85,0,-1)))-OFFSET(G81,-2,0)+OFFSET(G85,-1,0)+G87)+IF(OFFSET(InvInfo,$B79+30,3)=1,OFFSET($E$963,$B79-1,G$8)-OFFSET($E$963,$B79-1,G$8-1),0)+IF(AND(OFFSET(InvInfo,$B79+30,4)=1,G$5=OFFSET(InvInfo,$B79+30,5)),$C86,0)+G$1181</f>
        <v>0</v>
      </c>
      <c r="H85" s="965">
        <f t="shared" ref="H85:Q85" ca="1" si="25">IF(OR(AND(H$5=0,NoZeroCol=1),AND(H$5=-99,NoResCol=1)),IF(H$5=0,OFFSET(InvInfo,$B79+30,0),SUM(OFFSET(H85,0,-1))),IF(H$5=0,OFFSET(InvInfo,$B79+30,0),SUM(OFFSET(H85,0,-1)))-OFFSET(H81,-2,0)+OFFSET(H85,-1,0)+H87)+IF(OFFSET(InvInfo,$B79+30,3)=1,OFFSET($E$963,$B79-1,H$8)-OFFSET($E$963,$B79-1,H$8-1),0)+IF(AND(OFFSET(InvInfo,$B79+30,4)=1,H$5=OFFSET(InvInfo,$B79+30,5)),$C86,0)+H$1181</f>
        <v>0</v>
      </c>
      <c r="I85" s="965">
        <f t="shared" ca="1" si="25"/>
        <v>0</v>
      </c>
      <c r="J85" s="965">
        <f t="shared" ca="1" si="25"/>
        <v>0</v>
      </c>
      <c r="K85" s="965">
        <f t="shared" ca="1" si="25"/>
        <v>0</v>
      </c>
      <c r="L85" s="965">
        <f t="shared" ca="1" si="25"/>
        <v>0</v>
      </c>
      <c r="M85" s="965">
        <f t="shared" ca="1" si="25"/>
        <v>0</v>
      </c>
      <c r="N85" s="965">
        <f t="shared" ca="1" si="25"/>
        <v>0</v>
      </c>
      <c r="O85" s="965">
        <f t="shared" ca="1" si="25"/>
        <v>0</v>
      </c>
      <c r="P85" s="965">
        <f t="shared" ca="1" si="25"/>
        <v>0</v>
      </c>
      <c r="Q85" s="963">
        <f t="shared" ca="1" si="25"/>
        <v>0</v>
      </c>
      <c r="R85" s="321" t="str">
        <f>IF(MID(S85,7,1)="D","  ","")</f>
        <v/>
      </c>
      <c r="S85" s="319" t="s">
        <v>229</v>
      </c>
    </row>
    <row r="86" spans="1:19" ht="11.25" hidden="1" customHeight="1" x14ac:dyDescent="0.35">
      <c r="A86" s="357" t="s">
        <v>199</v>
      </c>
      <c r="B86" s="360">
        <v>0</v>
      </c>
      <c r="C86" s="375">
        <f>C82</f>
        <v>0</v>
      </c>
      <c r="D86" s="1189">
        <v>1</v>
      </c>
      <c r="E86" s="1181" t="s">
        <v>200</v>
      </c>
      <c r="F86" s="370"/>
      <c r="G86" s="371"/>
      <c r="H86" s="371"/>
      <c r="I86" s="371"/>
      <c r="J86" s="371"/>
      <c r="K86" s="371"/>
      <c r="L86" s="371"/>
      <c r="M86" s="371"/>
      <c r="N86" s="371"/>
      <c r="O86" s="371"/>
      <c r="P86" s="371"/>
      <c r="Q86" s="368">
        <f ca="1">OFFSET(Q85,-6,0)</f>
        <v>0</v>
      </c>
      <c r="R86" s="321"/>
      <c r="S86" s="319" t="s">
        <v>40</v>
      </c>
    </row>
    <row r="87" spans="1:19" ht="11.25" hidden="1" customHeight="1" x14ac:dyDescent="0.35">
      <c r="A87" s="357" t="s">
        <v>201</v>
      </c>
      <c r="B87" s="360">
        <v>1</v>
      </c>
      <c r="C87" s="369" t="str">
        <f>""&amp;C83</f>
        <v/>
      </c>
      <c r="D87" s="1189">
        <v>1</v>
      </c>
      <c r="E87" s="1183" t="s">
        <v>202</v>
      </c>
      <c r="F87" s="370"/>
      <c r="G87" s="371"/>
      <c r="H87" s="371"/>
      <c r="I87" s="371"/>
      <c r="J87" s="371"/>
      <c r="K87" s="371"/>
      <c r="L87" s="371"/>
      <c r="M87" s="371"/>
      <c r="N87" s="371"/>
      <c r="O87" s="371"/>
      <c r="P87" s="371"/>
      <c r="Q87" s="371">
        <f ca="1">IF(NOT(ISBLANK(OFFSET(Q85,-6,0))),OFFSET(Q85,-6,0)-OFFSET(Q85,0,-1),0)</f>
        <v>0</v>
      </c>
      <c r="R87" s="321"/>
      <c r="S87" s="319" t="s">
        <v>40</v>
      </c>
    </row>
    <row r="88" spans="1:19" ht="11.25" hidden="1" customHeight="1" x14ac:dyDescent="0.35">
      <c r="A88" s="353">
        <v>0</v>
      </c>
      <c r="B88" s="354"/>
      <c r="C88" s="355"/>
      <c r="D88" s="1184"/>
      <c r="E88" s="1180" t="s">
        <v>203</v>
      </c>
      <c r="F88" s="317"/>
      <c r="G88" s="356"/>
      <c r="H88" s="356"/>
      <c r="I88" s="356"/>
      <c r="J88" s="356"/>
      <c r="K88" s="356"/>
      <c r="L88" s="356"/>
      <c r="M88" s="356"/>
      <c r="N88" s="356"/>
      <c r="O88" s="356"/>
      <c r="P88" s="356"/>
      <c r="Q88" s="356"/>
      <c r="R88" s="321"/>
      <c r="S88" s="319" t="s">
        <v>145</v>
      </c>
    </row>
    <row r="89" spans="1:19" ht="11.25" hidden="1" customHeight="1" x14ac:dyDescent="0.35">
      <c r="A89" s="357" t="s">
        <v>204</v>
      </c>
      <c r="B89" s="358">
        <v>8</v>
      </c>
      <c r="C89" s="359"/>
      <c r="D89" s="1185"/>
      <c r="E89" s="380" t="s">
        <v>205</v>
      </c>
      <c r="F89" s="959"/>
      <c r="G89" s="960"/>
      <c r="H89" s="960"/>
      <c r="I89" s="960"/>
      <c r="J89" s="960"/>
      <c r="K89" s="960"/>
      <c r="L89" s="960"/>
      <c r="M89" s="960"/>
      <c r="N89" s="960"/>
      <c r="O89" s="960"/>
      <c r="P89" s="960"/>
      <c r="Q89" s="957">
        <f ca="1">OFFSET(Q89,2,-1)</f>
        <v>0</v>
      </c>
      <c r="R89" s="321" t="str">
        <f>IF(MID(S89,7,1)="D","  ","")</f>
        <v/>
      </c>
      <c r="S89" s="319" t="s">
        <v>145</v>
      </c>
    </row>
    <row r="90" spans="1:19" ht="11.25" hidden="1" customHeight="1" x14ac:dyDescent="0.35">
      <c r="A90" s="357" t="s">
        <v>206</v>
      </c>
      <c r="B90" s="360" t="s">
        <v>77</v>
      </c>
      <c r="C90" s="361" t="str">
        <f ca="1">SpecsTxt!$G$12&amp;" "&amp;B90</f>
        <v>Depreciation (straight line)</v>
      </c>
      <c r="D90" s="1186"/>
      <c r="E90" s="385" t="s">
        <v>207</v>
      </c>
      <c r="F90" s="961"/>
      <c r="G90" s="962"/>
      <c r="H90" s="962"/>
      <c r="I90" s="962"/>
      <c r="J90" s="962"/>
      <c r="K90" s="962"/>
      <c r="L90" s="962"/>
      <c r="M90" s="962"/>
      <c r="N90" s="962"/>
      <c r="O90" s="962"/>
      <c r="P90" s="962"/>
      <c r="Q90" s="407"/>
      <c r="R90" s="321" t="str">
        <f>IF(MID(S90,7,1)="D","  ","")</f>
        <v/>
      </c>
      <c r="S90" s="319" t="s">
        <v>145</v>
      </c>
    </row>
    <row r="91" spans="1:19" ht="11.25" hidden="1" customHeight="1" x14ac:dyDescent="0.35">
      <c r="A91" s="357" t="s">
        <v>208</v>
      </c>
      <c r="B91" s="363">
        <v>1</v>
      </c>
      <c r="C91" s="364" t="s">
        <v>80</v>
      </c>
      <c r="D91" s="1187"/>
      <c r="E91" s="385" t="s">
        <v>209</v>
      </c>
      <c r="F91" s="961"/>
      <c r="G91" s="962">
        <f ca="1">IF(OR(AND(G$5=0,NoZeroCol=1),AND(G$5=-99,NoResCol=1)),IF(G$5=0,OFFSET(InvInfo,$B89,0),SUM(OFFSET(G91,0,-1))),IF(G$5=0,OFFSET(InvInfo,$B89,0),SUM(OFFSET(G91,0,-1)))-OFFSET(G91,-2,0)+OFFSET(G91,-1,0)+G93)+IF(OFFSET(InvInfo,$B89,3)=1,OFFSET($E$933,$B89-1,G$8)-OFFSET($E$933,$B89-1,G$8-1),0)+IF(AND(OFFSET(InvInfo,$B89,4)=1,G$5=OFFSET(InvInfo,$B89,5)),$C92,0)+G$1182</f>
        <v>0</v>
      </c>
      <c r="H91" s="962">
        <f t="shared" ref="H91:Q91" ca="1" si="26">IF(OR(AND(H$5=0,NoZeroCol=1),AND(H$5=-99,NoResCol=1)),IF(H$5=0,OFFSET(InvInfo,$B89,0),SUM(OFFSET(H91,0,-1))),IF(H$5=0,OFFSET(InvInfo,$B89,0),SUM(OFFSET(H91,0,-1)))-OFFSET(H91,-2,0)+OFFSET(H91,-1,0)+H93)+IF(OFFSET(InvInfo,$B89,3)=1,OFFSET($E$933,$B89-1,H$8)-OFFSET($E$933,$B89-1,H$8-1),0)+IF(AND(OFFSET(InvInfo,$B89,4)=1,H$5=OFFSET(InvInfo,$B89,5)),$C92,0)+H$1182</f>
        <v>0</v>
      </c>
      <c r="I91" s="962">
        <f t="shared" ca="1" si="26"/>
        <v>0</v>
      </c>
      <c r="J91" s="962">
        <f t="shared" ca="1" si="26"/>
        <v>0</v>
      </c>
      <c r="K91" s="962">
        <f t="shared" ca="1" si="26"/>
        <v>0</v>
      </c>
      <c r="L91" s="962">
        <f t="shared" ca="1" si="26"/>
        <v>0</v>
      </c>
      <c r="M91" s="962">
        <f t="shared" ca="1" si="26"/>
        <v>0</v>
      </c>
      <c r="N91" s="962">
        <f t="shared" ca="1" si="26"/>
        <v>0</v>
      </c>
      <c r="O91" s="962">
        <f t="shared" ca="1" si="26"/>
        <v>0</v>
      </c>
      <c r="P91" s="962">
        <f t="shared" ca="1" si="26"/>
        <v>0</v>
      </c>
      <c r="Q91" s="407">
        <f t="shared" ca="1" si="26"/>
        <v>0</v>
      </c>
      <c r="R91" s="321" t="str">
        <f>IF(MID(S91,7,1)="D","  ","")</f>
        <v/>
      </c>
      <c r="S91" s="319" t="s">
        <v>229</v>
      </c>
    </row>
    <row r="92" spans="1:19" ht="11.25" hidden="1" customHeight="1" x14ac:dyDescent="0.35">
      <c r="A92" s="357" t="s">
        <v>210</v>
      </c>
      <c r="B92" s="365">
        <v>1</v>
      </c>
      <c r="C92" s="366">
        <v>0</v>
      </c>
      <c r="D92" s="1188">
        <v>1</v>
      </c>
      <c r="E92" s="1181" t="s">
        <v>211</v>
      </c>
      <c r="F92" s="367"/>
      <c r="G92" s="368"/>
      <c r="H92" s="368"/>
      <c r="I92" s="368"/>
      <c r="J92" s="368"/>
      <c r="K92" s="368"/>
      <c r="L92" s="368"/>
      <c r="M92" s="368"/>
      <c r="N92" s="368"/>
      <c r="O92" s="368"/>
      <c r="P92" s="368"/>
      <c r="Q92" s="368">
        <f ca="1">OFFSET(Q91,-2,0)</f>
        <v>0</v>
      </c>
      <c r="R92" s="321"/>
      <c r="S92" s="319" t="s">
        <v>40</v>
      </c>
    </row>
    <row r="93" spans="1:19" ht="11.25" hidden="1" customHeight="1" x14ac:dyDescent="0.35">
      <c r="A93" s="357" t="s">
        <v>212</v>
      </c>
      <c r="B93" s="360">
        <v>1</v>
      </c>
      <c r="C93" s="369"/>
      <c r="D93" s="1189">
        <v>1</v>
      </c>
      <c r="E93" s="1182" t="s">
        <v>213</v>
      </c>
      <c r="F93" s="370"/>
      <c r="G93" s="371"/>
      <c r="H93" s="371"/>
      <c r="I93" s="371"/>
      <c r="J93" s="371"/>
      <c r="K93" s="371"/>
      <c r="L93" s="371"/>
      <c r="M93" s="371"/>
      <c r="N93" s="371"/>
      <c r="O93" s="371"/>
      <c r="P93" s="371"/>
      <c r="Q93" s="371">
        <f ca="1">IF(NOT(ISBLANK(OFFSET(Q91,-2,0))),OFFSET(Q91,-2,0)-OFFSET(Q91,0,-1),0)</f>
        <v>0</v>
      </c>
      <c r="R93" s="321"/>
      <c r="S93" s="319" t="s">
        <v>40</v>
      </c>
    </row>
    <row r="94" spans="1:19" ht="11.25" hidden="1" customHeight="1" x14ac:dyDescent="0.35">
      <c r="A94" s="357" t="s">
        <v>214</v>
      </c>
      <c r="B94" s="360" t="s">
        <v>77</v>
      </c>
      <c r="C94" s="372" t="str">
        <f>$C$16&amp;" "&amp;B94</f>
        <v>Imputed depreciation (straight line)</v>
      </c>
      <c r="D94" s="1186"/>
      <c r="E94" s="385" t="s">
        <v>215</v>
      </c>
      <c r="F94" s="961"/>
      <c r="G94" s="962"/>
      <c r="H94" s="962"/>
      <c r="I94" s="962"/>
      <c r="J94" s="962"/>
      <c r="K94" s="962"/>
      <c r="L94" s="962"/>
      <c r="M94" s="962"/>
      <c r="N94" s="962"/>
      <c r="O94" s="962"/>
      <c r="P94" s="962"/>
      <c r="Q94" s="407"/>
      <c r="R94" s="321" t="str">
        <f>IF(MID(S94,7,1)="D","  ","")</f>
        <v/>
      </c>
      <c r="S94" s="319" t="s">
        <v>145</v>
      </c>
    </row>
    <row r="95" spans="1:19" ht="11.25" hidden="1" customHeight="1" x14ac:dyDescent="0.35">
      <c r="A95" s="357" t="s">
        <v>216</v>
      </c>
      <c r="B95" s="363">
        <v>1</v>
      </c>
      <c r="C95" s="373" t="s">
        <v>90</v>
      </c>
      <c r="D95" s="1190"/>
      <c r="E95" s="385" t="s">
        <v>217</v>
      </c>
      <c r="F95" s="964"/>
      <c r="G95" s="965">
        <f ca="1">IF(OR(AND(G$5=0,NoZeroCol=1),AND(G$5=-99,NoResCol=1)),IF(G$5=0,OFFSET(InvInfo,$B89+30,0),SUM(OFFSET(G95,0,-1))),IF(G$5=0,OFFSET(InvInfo,$B89+30,0),SUM(OFFSET(G95,0,-1)))-OFFSET(G91,-2,0)+OFFSET(G95,-1,0)+G97)+IF(OFFSET(InvInfo,$B89+30,3)=1,OFFSET($E$963,$B89-1,G$8)-OFFSET($E$963,$B89-1,G$8-1),0)+IF(AND(OFFSET(InvInfo,$B89+30,4)=1,G$5=OFFSET(InvInfo,$B89+30,5)),$C96,0)+G$1182</f>
        <v>0</v>
      </c>
      <c r="H95" s="965">
        <f t="shared" ref="H95:Q95" ca="1" si="27">IF(OR(AND(H$5=0,NoZeroCol=1),AND(H$5=-99,NoResCol=1)),IF(H$5=0,OFFSET(InvInfo,$B89+30,0),SUM(OFFSET(H95,0,-1))),IF(H$5=0,OFFSET(InvInfo,$B89+30,0),SUM(OFFSET(H95,0,-1)))-OFFSET(H91,-2,0)+OFFSET(H95,-1,0)+H97)+IF(OFFSET(InvInfo,$B89+30,3)=1,OFFSET($E$963,$B89-1,H$8)-OFFSET($E$963,$B89-1,H$8-1),0)+IF(AND(OFFSET(InvInfo,$B89+30,4)=1,H$5=OFFSET(InvInfo,$B89+30,5)),$C96,0)+H$1182</f>
        <v>0</v>
      </c>
      <c r="I95" s="965">
        <f t="shared" ca="1" si="27"/>
        <v>0</v>
      </c>
      <c r="J95" s="965">
        <f t="shared" ca="1" si="27"/>
        <v>0</v>
      </c>
      <c r="K95" s="965">
        <f t="shared" ca="1" si="27"/>
        <v>0</v>
      </c>
      <c r="L95" s="965">
        <f t="shared" ca="1" si="27"/>
        <v>0</v>
      </c>
      <c r="M95" s="965">
        <f t="shared" ca="1" si="27"/>
        <v>0</v>
      </c>
      <c r="N95" s="965">
        <f t="shared" ca="1" si="27"/>
        <v>0</v>
      </c>
      <c r="O95" s="965">
        <f t="shared" ca="1" si="27"/>
        <v>0</v>
      </c>
      <c r="P95" s="965">
        <f t="shared" ca="1" si="27"/>
        <v>0</v>
      </c>
      <c r="Q95" s="963">
        <f t="shared" ca="1" si="27"/>
        <v>0</v>
      </c>
      <c r="R95" s="321" t="str">
        <f>IF(MID(S95,7,1)="D","  ","")</f>
        <v/>
      </c>
      <c r="S95" s="319" t="s">
        <v>229</v>
      </c>
    </row>
    <row r="96" spans="1:19" ht="11.25" hidden="1" customHeight="1" x14ac:dyDescent="0.35">
      <c r="A96" s="357" t="s">
        <v>218</v>
      </c>
      <c r="B96" s="360">
        <v>0</v>
      </c>
      <c r="C96" s="375">
        <f>C92</f>
        <v>0</v>
      </c>
      <c r="D96" s="1189">
        <v>1</v>
      </c>
      <c r="E96" s="1181" t="s">
        <v>219</v>
      </c>
      <c r="F96" s="370"/>
      <c r="G96" s="371"/>
      <c r="H96" s="371"/>
      <c r="I96" s="371"/>
      <c r="J96" s="371"/>
      <c r="K96" s="371"/>
      <c r="L96" s="371"/>
      <c r="M96" s="371"/>
      <c r="N96" s="371"/>
      <c r="O96" s="371"/>
      <c r="P96" s="371"/>
      <c r="Q96" s="368">
        <f ca="1">OFFSET(Q95,-6,0)</f>
        <v>0</v>
      </c>
      <c r="R96" s="321"/>
      <c r="S96" s="319" t="s">
        <v>40</v>
      </c>
    </row>
    <row r="97" spans="1:19" ht="11.25" hidden="1" customHeight="1" x14ac:dyDescent="0.35">
      <c r="A97" s="357" t="s">
        <v>220</v>
      </c>
      <c r="B97" s="360">
        <v>1</v>
      </c>
      <c r="C97" s="369" t="str">
        <f>""&amp;C93</f>
        <v/>
      </c>
      <c r="D97" s="1189">
        <v>1</v>
      </c>
      <c r="E97" s="1183" t="s">
        <v>221</v>
      </c>
      <c r="F97" s="370"/>
      <c r="G97" s="371"/>
      <c r="H97" s="371"/>
      <c r="I97" s="371"/>
      <c r="J97" s="371"/>
      <c r="K97" s="371"/>
      <c r="L97" s="371"/>
      <c r="M97" s="371"/>
      <c r="N97" s="371"/>
      <c r="O97" s="371"/>
      <c r="P97" s="371"/>
      <c r="Q97" s="371">
        <f ca="1">IF(NOT(ISBLANK(OFFSET(Q95,-6,0))),OFFSET(Q95,-6,0)-OFFSET(Q95,0,-1),0)</f>
        <v>0</v>
      </c>
      <c r="R97" s="321"/>
      <c r="S97" s="319" t="s">
        <v>40</v>
      </c>
    </row>
    <row r="98" spans="1:19" ht="11.25" hidden="1" customHeight="1" x14ac:dyDescent="0.35">
      <c r="A98" s="353">
        <v>0</v>
      </c>
      <c r="B98" s="354"/>
      <c r="C98" s="355"/>
      <c r="D98" s="1184"/>
      <c r="E98" s="1180" t="s">
        <v>222</v>
      </c>
      <c r="F98" s="317"/>
      <c r="G98" s="356"/>
      <c r="H98" s="356"/>
      <c r="I98" s="356"/>
      <c r="J98" s="356"/>
      <c r="K98" s="356"/>
      <c r="L98" s="356"/>
      <c r="M98" s="356"/>
      <c r="N98" s="356"/>
      <c r="O98" s="356"/>
      <c r="P98" s="356"/>
      <c r="Q98" s="356"/>
      <c r="R98" s="321"/>
      <c r="S98" s="319" t="s">
        <v>145</v>
      </c>
    </row>
    <row r="99" spans="1:19" ht="11.25" hidden="1" customHeight="1" x14ac:dyDescent="0.35">
      <c r="A99" s="357" t="s">
        <v>223</v>
      </c>
      <c r="B99" s="358">
        <v>9</v>
      </c>
      <c r="C99" s="359"/>
      <c r="D99" s="1185"/>
      <c r="E99" s="380" t="s">
        <v>224</v>
      </c>
      <c r="F99" s="959"/>
      <c r="G99" s="960"/>
      <c r="H99" s="960"/>
      <c r="I99" s="960"/>
      <c r="J99" s="960"/>
      <c r="K99" s="960"/>
      <c r="L99" s="960"/>
      <c r="M99" s="960"/>
      <c r="N99" s="960"/>
      <c r="O99" s="960"/>
      <c r="P99" s="960"/>
      <c r="Q99" s="957">
        <f ca="1">OFFSET(Q99,2,-1)</f>
        <v>0</v>
      </c>
      <c r="R99" s="321" t="str">
        <f>IF(MID(S99,7,1)="D","  ","")</f>
        <v/>
      </c>
      <c r="S99" s="319" t="s">
        <v>145</v>
      </c>
    </row>
    <row r="100" spans="1:19" ht="11.25" hidden="1" customHeight="1" x14ac:dyDescent="0.35">
      <c r="A100" s="357" t="s">
        <v>225</v>
      </c>
      <c r="B100" s="360" t="s">
        <v>77</v>
      </c>
      <c r="C100" s="361" t="str">
        <f ca="1">SpecsTxt!$G$12&amp;" "&amp;B100</f>
        <v>Depreciation (straight line)</v>
      </c>
      <c r="D100" s="1186"/>
      <c r="E100" s="385" t="s">
        <v>226</v>
      </c>
      <c r="F100" s="961"/>
      <c r="G100" s="962"/>
      <c r="H100" s="962"/>
      <c r="I100" s="962"/>
      <c r="J100" s="962"/>
      <c r="K100" s="962"/>
      <c r="L100" s="962"/>
      <c r="M100" s="962"/>
      <c r="N100" s="962"/>
      <c r="O100" s="962"/>
      <c r="P100" s="962"/>
      <c r="Q100" s="407"/>
      <c r="R100" s="321" t="str">
        <f>IF(MID(S100,7,1)="D","  ","")</f>
        <v/>
      </c>
      <c r="S100" s="319" t="s">
        <v>145</v>
      </c>
    </row>
    <row r="101" spans="1:19" ht="11.25" hidden="1" customHeight="1" x14ac:dyDescent="0.35">
      <c r="A101" s="357" t="s">
        <v>227</v>
      </c>
      <c r="B101" s="363">
        <v>1</v>
      </c>
      <c r="C101" s="364" t="s">
        <v>80</v>
      </c>
      <c r="D101" s="1187"/>
      <c r="E101" s="385" t="s">
        <v>228</v>
      </c>
      <c r="F101" s="961"/>
      <c r="G101" s="962">
        <f ca="1">IF(OR(AND(G$5=0,NoZeroCol=1),AND(G$5=-99,NoResCol=1)),IF(G$5=0,OFFSET(InvInfo,$B99,0),SUM(OFFSET(G101,0,-1))),IF(G$5=0,OFFSET(InvInfo,$B99,0),SUM(OFFSET(G101,0,-1)))-OFFSET(G101,-2,0)+OFFSET(G101,-1,0)+G103)+IF(OFFSET(InvInfo,$B99,3)=1,OFFSET($E$933,$B99-1,G$8)-OFFSET($E$933,$B99-1,G$8-1),0)+IF(AND(OFFSET(InvInfo,$B99,4)=1,G$5=OFFSET(InvInfo,$B99,5)),$C102,0)+G$1183</f>
        <v>0</v>
      </c>
      <c r="H101" s="962">
        <f t="shared" ref="H101:Q101" ca="1" si="28">IF(OR(AND(H$5=0,NoZeroCol=1),AND(H$5=-99,NoResCol=1)),IF(H$5=0,OFFSET(InvInfo,$B99,0),SUM(OFFSET(H101,0,-1))),IF(H$5=0,OFFSET(InvInfo,$B99,0),SUM(OFFSET(H101,0,-1)))-OFFSET(H101,-2,0)+OFFSET(H101,-1,0)+H103)+IF(OFFSET(InvInfo,$B99,3)=1,OFFSET($E$933,$B99-1,H$8)-OFFSET($E$933,$B99-1,H$8-1),0)+IF(AND(OFFSET(InvInfo,$B99,4)=1,H$5=OFFSET(InvInfo,$B99,5)),$C102,0)+H$1183</f>
        <v>0</v>
      </c>
      <c r="I101" s="962">
        <f t="shared" ca="1" si="28"/>
        <v>0</v>
      </c>
      <c r="J101" s="962">
        <f t="shared" ca="1" si="28"/>
        <v>0</v>
      </c>
      <c r="K101" s="962">
        <f t="shared" ca="1" si="28"/>
        <v>0</v>
      </c>
      <c r="L101" s="962">
        <f t="shared" ca="1" si="28"/>
        <v>0</v>
      </c>
      <c r="M101" s="962">
        <f t="shared" ca="1" si="28"/>
        <v>0</v>
      </c>
      <c r="N101" s="962">
        <f t="shared" ca="1" si="28"/>
        <v>0</v>
      </c>
      <c r="O101" s="962">
        <f t="shared" ca="1" si="28"/>
        <v>0</v>
      </c>
      <c r="P101" s="962">
        <f t="shared" ca="1" si="28"/>
        <v>0</v>
      </c>
      <c r="Q101" s="407">
        <f t="shared" ca="1" si="28"/>
        <v>0</v>
      </c>
      <c r="R101" s="321" t="str">
        <f>IF(MID(S101,7,1)="D","  ","")</f>
        <v/>
      </c>
      <c r="S101" s="319" t="s">
        <v>229</v>
      </c>
    </row>
    <row r="102" spans="1:19" ht="11.25" hidden="1" customHeight="1" x14ac:dyDescent="0.35">
      <c r="A102" s="357" t="s">
        <v>230</v>
      </c>
      <c r="B102" s="365">
        <v>1</v>
      </c>
      <c r="C102" s="366">
        <v>0</v>
      </c>
      <c r="D102" s="1188">
        <v>1</v>
      </c>
      <c r="E102" s="1181" t="s">
        <v>231</v>
      </c>
      <c r="F102" s="367"/>
      <c r="G102" s="368"/>
      <c r="H102" s="368"/>
      <c r="I102" s="368"/>
      <c r="J102" s="368"/>
      <c r="K102" s="368"/>
      <c r="L102" s="368"/>
      <c r="M102" s="368"/>
      <c r="N102" s="368"/>
      <c r="O102" s="368"/>
      <c r="P102" s="368"/>
      <c r="Q102" s="368">
        <f ca="1">OFFSET(Q101,-2,0)</f>
        <v>0</v>
      </c>
      <c r="R102" s="321"/>
      <c r="S102" s="319" t="s">
        <v>232</v>
      </c>
    </row>
    <row r="103" spans="1:19" ht="11.25" hidden="1" customHeight="1" x14ac:dyDescent="0.35">
      <c r="A103" s="357" t="s">
        <v>233</v>
      </c>
      <c r="B103" s="360">
        <v>1</v>
      </c>
      <c r="C103" s="369"/>
      <c r="D103" s="1189">
        <v>1</v>
      </c>
      <c r="E103" s="1182" t="s">
        <v>234</v>
      </c>
      <c r="F103" s="370"/>
      <c r="G103" s="371"/>
      <c r="H103" s="371"/>
      <c r="I103" s="371"/>
      <c r="J103" s="371"/>
      <c r="K103" s="371"/>
      <c r="L103" s="371"/>
      <c r="M103" s="371"/>
      <c r="N103" s="371"/>
      <c r="O103" s="371"/>
      <c r="P103" s="371"/>
      <c r="Q103" s="371">
        <f ca="1">IF(NOT(ISBLANK(OFFSET(Q101,-2,0))),OFFSET(Q101,-2,0)-OFFSET(Q101,0,-1),0)</f>
        <v>0</v>
      </c>
      <c r="R103" s="321"/>
      <c r="S103" s="319" t="s">
        <v>232</v>
      </c>
    </row>
    <row r="104" spans="1:19" ht="11.25" hidden="1" customHeight="1" x14ac:dyDescent="0.35">
      <c r="A104" s="357" t="s">
        <v>235</v>
      </c>
      <c r="B104" s="360" t="s">
        <v>77</v>
      </c>
      <c r="C104" s="372" t="str">
        <f>$C$16&amp;" "&amp;B104</f>
        <v>Imputed depreciation (straight line)</v>
      </c>
      <c r="D104" s="1186"/>
      <c r="E104" s="385" t="s">
        <v>236</v>
      </c>
      <c r="F104" s="961"/>
      <c r="G104" s="962"/>
      <c r="H104" s="962"/>
      <c r="I104" s="962"/>
      <c r="J104" s="962"/>
      <c r="K104" s="962"/>
      <c r="L104" s="962"/>
      <c r="M104" s="962"/>
      <c r="N104" s="962"/>
      <c r="O104" s="962"/>
      <c r="P104" s="962"/>
      <c r="Q104" s="407"/>
      <c r="R104" s="321" t="str">
        <f>IF(MID(S104,7,1)="D","  ","")</f>
        <v/>
      </c>
      <c r="S104" s="319" t="s">
        <v>145</v>
      </c>
    </row>
    <row r="105" spans="1:19" ht="11.25" hidden="1" customHeight="1" x14ac:dyDescent="0.35">
      <c r="A105" s="357" t="s">
        <v>237</v>
      </c>
      <c r="B105" s="363">
        <v>1</v>
      </c>
      <c r="C105" s="373" t="s">
        <v>90</v>
      </c>
      <c r="D105" s="1190"/>
      <c r="E105" s="385" t="s">
        <v>238</v>
      </c>
      <c r="F105" s="964"/>
      <c r="G105" s="965">
        <f ca="1">IF(OR(AND(G$5=0,NoZeroCol=1),AND(G$5=-99,NoResCol=1)),IF(G$5=0,OFFSET(InvInfo,$B99+30,0),SUM(OFFSET(G105,0,-1))),IF(G$5=0,OFFSET(InvInfo,$B99+30,0),SUM(OFFSET(G105,0,-1)))-OFFSET(G101,-2,0)+OFFSET(G105,-1,0)+G107)+IF(OFFSET(InvInfo,$B99+30,3)=1,OFFSET($E$963,$B99-1,G$8)-OFFSET($E$963,$B99-1,G$8-1),0)+IF(AND(OFFSET(InvInfo,$B99+30,4)=1,G$5=OFFSET(InvInfo,$B99+30,5)),$C106,0)+G$1183</f>
        <v>0</v>
      </c>
      <c r="H105" s="965">
        <f t="shared" ref="H105:Q105" ca="1" si="29">IF(OR(AND(H$5=0,NoZeroCol=1),AND(H$5=-99,NoResCol=1)),IF(H$5=0,OFFSET(InvInfo,$B99+30,0),SUM(OFFSET(H105,0,-1))),IF(H$5=0,OFFSET(InvInfo,$B99+30,0),SUM(OFFSET(H105,0,-1)))-OFFSET(H101,-2,0)+OFFSET(H105,-1,0)+H107)+IF(OFFSET(InvInfo,$B99+30,3)=1,OFFSET($E$963,$B99-1,H$8)-OFFSET($E$963,$B99-1,H$8-1),0)+IF(AND(OFFSET(InvInfo,$B99+30,4)=1,H$5=OFFSET(InvInfo,$B99+30,5)),$C106,0)+H$1183</f>
        <v>0</v>
      </c>
      <c r="I105" s="965">
        <f t="shared" ca="1" si="29"/>
        <v>0</v>
      </c>
      <c r="J105" s="965">
        <f t="shared" ca="1" si="29"/>
        <v>0</v>
      </c>
      <c r="K105" s="965">
        <f t="shared" ca="1" si="29"/>
        <v>0</v>
      </c>
      <c r="L105" s="965">
        <f t="shared" ca="1" si="29"/>
        <v>0</v>
      </c>
      <c r="M105" s="965">
        <f t="shared" ca="1" si="29"/>
        <v>0</v>
      </c>
      <c r="N105" s="965">
        <f t="shared" ca="1" si="29"/>
        <v>0</v>
      </c>
      <c r="O105" s="965">
        <f t="shared" ca="1" si="29"/>
        <v>0</v>
      </c>
      <c r="P105" s="965">
        <f t="shared" ca="1" si="29"/>
        <v>0</v>
      </c>
      <c r="Q105" s="963">
        <f t="shared" ca="1" si="29"/>
        <v>0</v>
      </c>
      <c r="R105" s="321" t="str">
        <f>IF(MID(S105,7,1)="D","  ","")</f>
        <v/>
      </c>
      <c r="S105" s="319" t="s">
        <v>229</v>
      </c>
    </row>
    <row r="106" spans="1:19" ht="11.25" hidden="1" customHeight="1" x14ac:dyDescent="0.35">
      <c r="A106" s="357" t="s">
        <v>239</v>
      </c>
      <c r="B106" s="376">
        <v>0</v>
      </c>
      <c r="C106" s="375">
        <f>C102</f>
        <v>0</v>
      </c>
      <c r="D106" s="1189">
        <v>1</v>
      </c>
      <c r="E106" s="1181" t="s">
        <v>240</v>
      </c>
      <c r="F106" s="370"/>
      <c r="G106" s="371"/>
      <c r="H106" s="371"/>
      <c r="I106" s="371"/>
      <c r="J106" s="371"/>
      <c r="K106" s="371"/>
      <c r="L106" s="371"/>
      <c r="M106" s="371"/>
      <c r="N106" s="371"/>
      <c r="O106" s="371"/>
      <c r="P106" s="371"/>
      <c r="Q106" s="368">
        <f ca="1">OFFSET(Q105,-6,0)</f>
        <v>0</v>
      </c>
      <c r="R106" s="321"/>
      <c r="S106" s="319" t="s">
        <v>232</v>
      </c>
    </row>
    <row r="107" spans="1:19" ht="11.25" hidden="1" customHeight="1" x14ac:dyDescent="0.35">
      <c r="A107" s="357" t="s">
        <v>241</v>
      </c>
      <c r="B107" s="376">
        <v>1</v>
      </c>
      <c r="C107" s="369" t="str">
        <f>""&amp;C103</f>
        <v/>
      </c>
      <c r="D107" s="1189">
        <v>1</v>
      </c>
      <c r="E107" s="1183" t="s">
        <v>242</v>
      </c>
      <c r="F107" s="370"/>
      <c r="G107" s="371"/>
      <c r="H107" s="371"/>
      <c r="I107" s="371"/>
      <c r="J107" s="371"/>
      <c r="K107" s="371"/>
      <c r="L107" s="371"/>
      <c r="M107" s="371"/>
      <c r="N107" s="371"/>
      <c r="O107" s="371"/>
      <c r="P107" s="371"/>
      <c r="Q107" s="371">
        <f ca="1">IF(NOT(ISBLANK(OFFSET(Q105,-6,0))),OFFSET(Q105,-6,0)-OFFSET(Q105,0,-1),0)</f>
        <v>0</v>
      </c>
      <c r="R107" s="321"/>
      <c r="S107" s="319" t="s">
        <v>232</v>
      </c>
    </row>
    <row r="108" spans="1:19" ht="11.25" hidden="1" customHeight="1" x14ac:dyDescent="0.35">
      <c r="A108" s="353">
        <v>0</v>
      </c>
      <c r="B108" s="354"/>
      <c r="C108" s="355"/>
      <c r="D108" s="1184"/>
      <c r="E108" s="1180" t="s">
        <v>243</v>
      </c>
      <c r="F108" s="317"/>
      <c r="G108" s="356"/>
      <c r="H108" s="356"/>
      <c r="I108" s="356"/>
      <c r="J108" s="356"/>
      <c r="K108" s="356"/>
      <c r="L108" s="356"/>
      <c r="M108" s="356"/>
      <c r="N108" s="356"/>
      <c r="O108" s="356"/>
      <c r="P108" s="356"/>
      <c r="Q108" s="356"/>
      <c r="R108" s="321"/>
      <c r="S108" s="319" t="s">
        <v>145</v>
      </c>
    </row>
    <row r="109" spans="1:19" ht="11.25" hidden="1" customHeight="1" x14ac:dyDescent="0.35">
      <c r="A109" s="357" t="s">
        <v>244</v>
      </c>
      <c r="B109" s="358">
        <v>10</v>
      </c>
      <c r="C109" s="359"/>
      <c r="D109" s="1185"/>
      <c r="E109" s="380" t="s">
        <v>245</v>
      </c>
      <c r="F109" s="959"/>
      <c r="G109" s="960"/>
      <c r="H109" s="960"/>
      <c r="I109" s="960"/>
      <c r="J109" s="960"/>
      <c r="K109" s="960"/>
      <c r="L109" s="960"/>
      <c r="M109" s="960"/>
      <c r="N109" s="960"/>
      <c r="O109" s="960"/>
      <c r="P109" s="960"/>
      <c r="Q109" s="957">
        <f ca="1">OFFSET(Q109,2,-1)</f>
        <v>0</v>
      </c>
      <c r="R109" s="321" t="str">
        <f>IF(MID(S109,7,1)="D","  ","")</f>
        <v/>
      </c>
      <c r="S109" s="319" t="s">
        <v>145</v>
      </c>
    </row>
    <row r="110" spans="1:19" ht="11.25" hidden="1" customHeight="1" x14ac:dyDescent="0.35">
      <c r="A110" s="357" t="s">
        <v>246</v>
      </c>
      <c r="B110" s="360" t="s">
        <v>77</v>
      </c>
      <c r="C110" s="361" t="str">
        <f ca="1">SpecsTxt!$G$12&amp;" "&amp;B110</f>
        <v>Depreciation (straight line)</v>
      </c>
      <c r="D110" s="1186"/>
      <c r="E110" s="385" t="s">
        <v>247</v>
      </c>
      <c r="F110" s="961"/>
      <c r="G110" s="962"/>
      <c r="H110" s="962"/>
      <c r="I110" s="962"/>
      <c r="J110" s="962"/>
      <c r="K110" s="962"/>
      <c r="L110" s="962"/>
      <c r="M110" s="962"/>
      <c r="N110" s="962"/>
      <c r="O110" s="962"/>
      <c r="P110" s="962"/>
      <c r="Q110" s="407"/>
      <c r="R110" s="321" t="str">
        <f>IF(MID(S110,7,1)="D","  ","")</f>
        <v/>
      </c>
      <c r="S110" s="319" t="s">
        <v>145</v>
      </c>
    </row>
    <row r="111" spans="1:19" ht="11.25" hidden="1" customHeight="1" x14ac:dyDescent="0.35">
      <c r="A111" s="357" t="s">
        <v>248</v>
      </c>
      <c r="B111" s="363">
        <v>1</v>
      </c>
      <c r="C111" s="364" t="s">
        <v>80</v>
      </c>
      <c r="D111" s="1187"/>
      <c r="E111" s="385" t="s">
        <v>249</v>
      </c>
      <c r="F111" s="961"/>
      <c r="G111" s="962">
        <f ca="1">IF(OR(AND(G$5=0,NoZeroCol=1),AND(G$5=-99,NoResCol=1)),IF(G$5=0,OFFSET(InvInfo,$B109,0),SUM(OFFSET(G111,0,-1))),IF(G$5=0,OFFSET(InvInfo,$B109,0),SUM(OFFSET(G111,0,-1)))-OFFSET(G111,-2,0)+OFFSET(G111,-1,0)+G113)+IF(OFFSET(InvInfo,$B109,3)=1,OFFSET($E$933,$B109-1,G$8)-OFFSET($E$933,$B109-1,G$8-1),0)+IF(AND(OFFSET(InvInfo,$B109,4)=1,G$5=OFFSET(InvInfo,$B109,5)),$C112,0)+G$1184</f>
        <v>0</v>
      </c>
      <c r="H111" s="962">
        <f t="shared" ref="H111:Q111" ca="1" si="30">IF(OR(AND(H$5=0,NoZeroCol=1),AND(H$5=-99,NoResCol=1)),IF(H$5=0,OFFSET(InvInfo,$B109,0),SUM(OFFSET(H111,0,-1))),IF(H$5=0,OFFSET(InvInfo,$B109,0),SUM(OFFSET(H111,0,-1)))-OFFSET(H111,-2,0)+OFFSET(H111,-1,0)+H113)+IF(OFFSET(InvInfo,$B109,3)=1,OFFSET($E$933,$B109-1,H$8)-OFFSET($E$933,$B109-1,H$8-1),0)+IF(AND(OFFSET(InvInfo,$B109,4)=1,H$5=OFFSET(InvInfo,$B109,5)),$C112,0)+H$1184</f>
        <v>0</v>
      </c>
      <c r="I111" s="962">
        <f t="shared" ca="1" si="30"/>
        <v>0</v>
      </c>
      <c r="J111" s="962">
        <f t="shared" ca="1" si="30"/>
        <v>0</v>
      </c>
      <c r="K111" s="962">
        <f t="shared" ca="1" si="30"/>
        <v>0</v>
      </c>
      <c r="L111" s="962">
        <f t="shared" ca="1" si="30"/>
        <v>0</v>
      </c>
      <c r="M111" s="962">
        <f t="shared" ca="1" si="30"/>
        <v>0</v>
      </c>
      <c r="N111" s="962">
        <f t="shared" ca="1" si="30"/>
        <v>0</v>
      </c>
      <c r="O111" s="962">
        <f t="shared" ca="1" si="30"/>
        <v>0</v>
      </c>
      <c r="P111" s="962">
        <f t="shared" ca="1" si="30"/>
        <v>0</v>
      </c>
      <c r="Q111" s="407">
        <f t="shared" ca="1" si="30"/>
        <v>0</v>
      </c>
      <c r="R111" s="321" t="str">
        <f>IF(MID(S111,7,1)="D","  ","")</f>
        <v/>
      </c>
      <c r="S111" s="319" t="s">
        <v>229</v>
      </c>
    </row>
    <row r="112" spans="1:19" ht="11.25" hidden="1" customHeight="1" x14ac:dyDescent="0.35">
      <c r="A112" s="357" t="s">
        <v>250</v>
      </c>
      <c r="B112" s="365">
        <v>1</v>
      </c>
      <c r="C112" s="366">
        <v>0</v>
      </c>
      <c r="D112" s="1188">
        <v>1</v>
      </c>
      <c r="E112" s="1181" t="s">
        <v>251</v>
      </c>
      <c r="F112" s="367"/>
      <c r="G112" s="368"/>
      <c r="H112" s="368"/>
      <c r="I112" s="368"/>
      <c r="J112" s="368"/>
      <c r="K112" s="368"/>
      <c r="L112" s="368"/>
      <c r="M112" s="368"/>
      <c r="N112" s="368"/>
      <c r="O112" s="368"/>
      <c r="P112" s="368"/>
      <c r="Q112" s="368">
        <f ca="1">OFFSET(Q111,-2,0)</f>
        <v>0</v>
      </c>
      <c r="R112" s="321"/>
      <c r="S112" s="319" t="s">
        <v>232</v>
      </c>
    </row>
    <row r="113" spans="1:19" ht="11.25" hidden="1" customHeight="1" x14ac:dyDescent="0.35">
      <c r="A113" s="357" t="s">
        <v>252</v>
      </c>
      <c r="B113" s="360">
        <v>1</v>
      </c>
      <c r="C113" s="369"/>
      <c r="D113" s="1189">
        <v>1</v>
      </c>
      <c r="E113" s="1182" t="s">
        <v>253</v>
      </c>
      <c r="F113" s="370"/>
      <c r="G113" s="371"/>
      <c r="H113" s="371"/>
      <c r="I113" s="371"/>
      <c r="J113" s="371"/>
      <c r="K113" s="371"/>
      <c r="L113" s="371"/>
      <c r="M113" s="371"/>
      <c r="N113" s="371"/>
      <c r="O113" s="371"/>
      <c r="P113" s="371"/>
      <c r="Q113" s="371">
        <f ca="1">IF(NOT(ISBLANK(OFFSET(Q111,-2,0))),OFFSET(Q111,-2,0)-OFFSET(Q111,0,-1),0)</f>
        <v>0</v>
      </c>
      <c r="R113" s="321"/>
      <c r="S113" s="319" t="s">
        <v>232</v>
      </c>
    </row>
    <row r="114" spans="1:19" ht="11.25" hidden="1" customHeight="1" x14ac:dyDescent="0.35">
      <c r="A114" s="357" t="s">
        <v>254</v>
      </c>
      <c r="B114" s="360" t="s">
        <v>77</v>
      </c>
      <c r="C114" s="372" t="str">
        <f>$C$16&amp;" "&amp;B114</f>
        <v>Imputed depreciation (straight line)</v>
      </c>
      <c r="D114" s="1186"/>
      <c r="E114" s="385" t="s">
        <v>255</v>
      </c>
      <c r="F114" s="961"/>
      <c r="G114" s="962"/>
      <c r="H114" s="962"/>
      <c r="I114" s="962"/>
      <c r="J114" s="962"/>
      <c r="K114" s="962"/>
      <c r="L114" s="962"/>
      <c r="M114" s="962"/>
      <c r="N114" s="962"/>
      <c r="O114" s="962"/>
      <c r="P114" s="962"/>
      <c r="Q114" s="407"/>
      <c r="R114" s="321" t="str">
        <f>IF(MID(S114,7,1)="D","  ","")</f>
        <v/>
      </c>
      <c r="S114" s="319" t="s">
        <v>145</v>
      </c>
    </row>
    <row r="115" spans="1:19" ht="11.25" hidden="1" customHeight="1" x14ac:dyDescent="0.35">
      <c r="A115" s="357" t="s">
        <v>256</v>
      </c>
      <c r="B115" s="363">
        <v>1</v>
      </c>
      <c r="C115" s="373" t="s">
        <v>90</v>
      </c>
      <c r="D115" s="1190"/>
      <c r="E115" s="385" t="s">
        <v>257</v>
      </c>
      <c r="F115" s="964"/>
      <c r="G115" s="965">
        <f ca="1">IF(OR(AND(G$5=0,NoZeroCol=1),AND(G$5=-99,NoResCol=1)),IF(G$5=0,OFFSET(InvInfo,$B109+30,0),SUM(OFFSET(G115,0,-1))),IF(G$5=0,OFFSET(InvInfo,$B109+30,0),SUM(OFFSET(G115,0,-1)))-OFFSET(G111,-2,0)+OFFSET(G115,-1,0)+G117)+IF(OFFSET(InvInfo,$B109+30,3)=1,OFFSET($E$963,$B109-1,G$8)-OFFSET($E$963,$B109-1,G$8-1),0)+IF(AND(OFFSET(InvInfo,$B109+30,4)=1,G$5=OFFSET(InvInfo,$B109+30,5)),$C116,0)+G$1184</f>
        <v>0</v>
      </c>
      <c r="H115" s="965">
        <f t="shared" ref="H115:Q115" ca="1" si="31">IF(OR(AND(H$5=0,NoZeroCol=1),AND(H$5=-99,NoResCol=1)),IF(H$5=0,OFFSET(InvInfo,$B109+30,0),SUM(OFFSET(H115,0,-1))),IF(H$5=0,OFFSET(InvInfo,$B109+30,0),SUM(OFFSET(H115,0,-1)))-OFFSET(H111,-2,0)+OFFSET(H115,-1,0)+H117)+IF(OFFSET(InvInfo,$B109+30,3)=1,OFFSET($E$963,$B109-1,H$8)-OFFSET($E$963,$B109-1,H$8-1),0)+IF(AND(OFFSET(InvInfo,$B109+30,4)=1,H$5=OFFSET(InvInfo,$B109+30,5)),$C116,0)+H$1184</f>
        <v>0</v>
      </c>
      <c r="I115" s="965">
        <f t="shared" ca="1" si="31"/>
        <v>0</v>
      </c>
      <c r="J115" s="965">
        <f t="shared" ca="1" si="31"/>
        <v>0</v>
      </c>
      <c r="K115" s="965">
        <f t="shared" ca="1" si="31"/>
        <v>0</v>
      </c>
      <c r="L115" s="965">
        <f t="shared" ca="1" si="31"/>
        <v>0</v>
      </c>
      <c r="M115" s="965">
        <f t="shared" ca="1" si="31"/>
        <v>0</v>
      </c>
      <c r="N115" s="965">
        <f t="shared" ca="1" si="31"/>
        <v>0</v>
      </c>
      <c r="O115" s="965">
        <f t="shared" ca="1" si="31"/>
        <v>0</v>
      </c>
      <c r="P115" s="965">
        <f t="shared" ca="1" si="31"/>
        <v>0</v>
      </c>
      <c r="Q115" s="963">
        <f t="shared" ca="1" si="31"/>
        <v>0</v>
      </c>
      <c r="R115" s="321" t="str">
        <f>IF(MID(S115,7,1)="D","  ","")</f>
        <v/>
      </c>
      <c r="S115" s="319" t="s">
        <v>229</v>
      </c>
    </row>
    <row r="116" spans="1:19" ht="11.25" hidden="1" customHeight="1" x14ac:dyDescent="0.35">
      <c r="A116" s="357" t="s">
        <v>258</v>
      </c>
      <c r="B116" s="376">
        <v>0</v>
      </c>
      <c r="C116" s="375">
        <f>C112</f>
        <v>0</v>
      </c>
      <c r="D116" s="1189">
        <v>1</v>
      </c>
      <c r="E116" s="1181" t="s">
        <v>259</v>
      </c>
      <c r="F116" s="370"/>
      <c r="G116" s="371"/>
      <c r="H116" s="371"/>
      <c r="I116" s="371"/>
      <c r="J116" s="371"/>
      <c r="K116" s="371"/>
      <c r="L116" s="371"/>
      <c r="M116" s="371"/>
      <c r="N116" s="371"/>
      <c r="O116" s="371"/>
      <c r="P116" s="371"/>
      <c r="Q116" s="368">
        <f ca="1">OFFSET(Q115,-6,0)</f>
        <v>0</v>
      </c>
      <c r="R116" s="321"/>
      <c r="S116" s="319" t="s">
        <v>232</v>
      </c>
    </row>
    <row r="117" spans="1:19" ht="11.25" hidden="1" customHeight="1" x14ac:dyDescent="0.35">
      <c r="A117" s="357" t="s">
        <v>260</v>
      </c>
      <c r="B117" s="376">
        <v>1</v>
      </c>
      <c r="C117" s="369" t="str">
        <f>""&amp;C113</f>
        <v/>
      </c>
      <c r="D117" s="1189">
        <v>1</v>
      </c>
      <c r="E117" s="1183" t="s">
        <v>261</v>
      </c>
      <c r="F117" s="370"/>
      <c r="G117" s="371"/>
      <c r="H117" s="371"/>
      <c r="I117" s="371"/>
      <c r="J117" s="371"/>
      <c r="K117" s="371"/>
      <c r="L117" s="371"/>
      <c r="M117" s="371"/>
      <c r="N117" s="371"/>
      <c r="O117" s="371"/>
      <c r="P117" s="371"/>
      <c r="Q117" s="371">
        <f ca="1">IF(NOT(ISBLANK(OFFSET(Q115,-6,0))),OFFSET(Q115,-6,0)-OFFSET(Q115,0,-1),0)</f>
        <v>0</v>
      </c>
      <c r="R117" s="321"/>
      <c r="S117" s="319" t="s">
        <v>232</v>
      </c>
    </row>
    <row r="118" spans="1:19" ht="11.25" hidden="1" customHeight="1" x14ac:dyDescent="0.35">
      <c r="A118" s="353">
        <v>0</v>
      </c>
      <c r="B118" s="354"/>
      <c r="C118" s="355"/>
      <c r="D118" s="1184"/>
      <c r="E118" s="1180" t="s">
        <v>262</v>
      </c>
      <c r="F118" s="317"/>
      <c r="G118" s="356"/>
      <c r="H118" s="356"/>
      <c r="I118" s="356"/>
      <c r="J118" s="356"/>
      <c r="K118" s="356"/>
      <c r="L118" s="356"/>
      <c r="M118" s="356"/>
      <c r="N118" s="356"/>
      <c r="O118" s="356"/>
      <c r="P118" s="356"/>
      <c r="Q118" s="356"/>
      <c r="R118" s="321"/>
      <c r="S118" s="319" t="s">
        <v>145</v>
      </c>
    </row>
    <row r="119" spans="1:19" ht="11.25" hidden="1" customHeight="1" x14ac:dyDescent="0.35">
      <c r="A119" s="357" t="s">
        <v>263</v>
      </c>
      <c r="B119" s="358">
        <v>11</v>
      </c>
      <c r="C119" s="359"/>
      <c r="D119" s="1185"/>
      <c r="E119" s="380" t="s">
        <v>264</v>
      </c>
      <c r="F119" s="959"/>
      <c r="G119" s="960"/>
      <c r="H119" s="960"/>
      <c r="I119" s="960"/>
      <c r="J119" s="960"/>
      <c r="K119" s="960"/>
      <c r="L119" s="960"/>
      <c r="M119" s="960"/>
      <c r="N119" s="960"/>
      <c r="O119" s="960"/>
      <c r="P119" s="960"/>
      <c r="Q119" s="957">
        <f ca="1">OFFSET(Q119,2,-1)</f>
        <v>0</v>
      </c>
      <c r="R119" s="321" t="str">
        <f>IF(MID(S119,7,1)="D","  ","")</f>
        <v/>
      </c>
      <c r="S119" s="319" t="s">
        <v>145</v>
      </c>
    </row>
    <row r="120" spans="1:19" ht="11.25" hidden="1" customHeight="1" x14ac:dyDescent="0.35">
      <c r="A120" s="357" t="s">
        <v>265</v>
      </c>
      <c r="B120" s="360" t="s">
        <v>77</v>
      </c>
      <c r="C120" s="361" t="str">
        <f ca="1">SpecsTxt!$G$12&amp;" "&amp;B120</f>
        <v>Depreciation (straight line)</v>
      </c>
      <c r="D120" s="1186"/>
      <c r="E120" s="385" t="s">
        <v>266</v>
      </c>
      <c r="F120" s="961"/>
      <c r="G120" s="962"/>
      <c r="H120" s="962"/>
      <c r="I120" s="962"/>
      <c r="J120" s="962"/>
      <c r="K120" s="962"/>
      <c r="L120" s="962"/>
      <c r="M120" s="962"/>
      <c r="N120" s="962"/>
      <c r="O120" s="962"/>
      <c r="P120" s="962"/>
      <c r="Q120" s="407"/>
      <c r="R120" s="321" t="str">
        <f>IF(MID(S120,7,1)="D","  ","")</f>
        <v/>
      </c>
      <c r="S120" s="319" t="s">
        <v>145</v>
      </c>
    </row>
    <row r="121" spans="1:19" ht="11.25" hidden="1" customHeight="1" x14ac:dyDescent="0.35">
      <c r="A121" s="357" t="s">
        <v>267</v>
      </c>
      <c r="B121" s="363">
        <v>1</v>
      </c>
      <c r="C121" s="364" t="s">
        <v>80</v>
      </c>
      <c r="D121" s="1187"/>
      <c r="E121" s="385" t="s">
        <v>268</v>
      </c>
      <c r="F121" s="961"/>
      <c r="G121" s="962">
        <f ca="1">IF(OR(AND(G$5=0,NoZeroCol=1),AND(G$5=-99,NoResCol=1)),IF(G$5=0,OFFSET(InvInfo,$B119,0),SUM(OFFSET(G121,0,-1))),IF(G$5=0,OFFSET(InvInfo,$B119,0),SUM(OFFSET(G121,0,-1)))-OFFSET(G121,-2,0)+OFFSET(G121,-1,0)+G123)+IF(OFFSET(InvInfo,$B119,3)=1,OFFSET($E$933,$B119-1,G$8)-OFFSET($E$933,$B119-1,G$8-1),0)+IF(AND(OFFSET(InvInfo,$B119,4)=1,G$5=OFFSET(InvInfo,$B119,5)),$C122,0)+G$1185</f>
        <v>0</v>
      </c>
      <c r="H121" s="962">
        <f t="shared" ref="H121:Q121" ca="1" si="32">IF(OR(AND(H$5=0,NoZeroCol=1),AND(H$5=-99,NoResCol=1)),IF(H$5=0,OFFSET(InvInfo,$B119,0),SUM(OFFSET(H121,0,-1))),IF(H$5=0,OFFSET(InvInfo,$B119,0),SUM(OFFSET(H121,0,-1)))-OFFSET(H121,-2,0)+OFFSET(H121,-1,0)+H123)+IF(OFFSET(InvInfo,$B119,3)=1,OFFSET($E$933,$B119-1,H$8)-OFFSET($E$933,$B119-1,H$8-1),0)+IF(AND(OFFSET(InvInfo,$B119,4)=1,H$5=OFFSET(InvInfo,$B119,5)),$C122,0)+H$1185</f>
        <v>0</v>
      </c>
      <c r="I121" s="962">
        <f t="shared" ca="1" si="32"/>
        <v>0</v>
      </c>
      <c r="J121" s="962">
        <f t="shared" ca="1" si="32"/>
        <v>0</v>
      </c>
      <c r="K121" s="962">
        <f t="shared" ca="1" si="32"/>
        <v>0</v>
      </c>
      <c r="L121" s="962">
        <f t="shared" ca="1" si="32"/>
        <v>0</v>
      </c>
      <c r="M121" s="962">
        <f t="shared" ca="1" si="32"/>
        <v>0</v>
      </c>
      <c r="N121" s="962">
        <f t="shared" ca="1" si="32"/>
        <v>0</v>
      </c>
      <c r="O121" s="962">
        <f t="shared" ca="1" si="32"/>
        <v>0</v>
      </c>
      <c r="P121" s="962">
        <f t="shared" ca="1" si="32"/>
        <v>0</v>
      </c>
      <c r="Q121" s="407">
        <f t="shared" ca="1" si="32"/>
        <v>0</v>
      </c>
      <c r="R121" s="321" t="str">
        <f>IF(MID(S121,7,1)="D","  ","")</f>
        <v/>
      </c>
      <c r="S121" s="319" t="s">
        <v>229</v>
      </c>
    </row>
    <row r="122" spans="1:19" ht="11.25" hidden="1" customHeight="1" x14ac:dyDescent="0.35">
      <c r="A122" s="357" t="s">
        <v>269</v>
      </c>
      <c r="B122" s="365">
        <v>1</v>
      </c>
      <c r="C122" s="366">
        <v>0</v>
      </c>
      <c r="D122" s="1188">
        <v>1</v>
      </c>
      <c r="E122" s="1181" t="s">
        <v>270</v>
      </c>
      <c r="F122" s="367"/>
      <c r="G122" s="368"/>
      <c r="H122" s="368"/>
      <c r="I122" s="368"/>
      <c r="J122" s="368"/>
      <c r="K122" s="368"/>
      <c r="L122" s="368"/>
      <c r="M122" s="368"/>
      <c r="N122" s="368"/>
      <c r="O122" s="368"/>
      <c r="P122" s="368"/>
      <c r="Q122" s="368">
        <f ca="1">OFFSET(Q121,-2,0)</f>
        <v>0</v>
      </c>
      <c r="R122" s="321"/>
      <c r="S122" s="319" t="s">
        <v>232</v>
      </c>
    </row>
    <row r="123" spans="1:19" ht="11.25" hidden="1" customHeight="1" x14ac:dyDescent="0.35">
      <c r="A123" s="357" t="s">
        <v>271</v>
      </c>
      <c r="B123" s="360">
        <v>1</v>
      </c>
      <c r="C123" s="369"/>
      <c r="D123" s="1189">
        <v>1</v>
      </c>
      <c r="E123" s="1182" t="s">
        <v>272</v>
      </c>
      <c r="F123" s="370"/>
      <c r="G123" s="371"/>
      <c r="H123" s="371"/>
      <c r="I123" s="371"/>
      <c r="J123" s="371"/>
      <c r="K123" s="371"/>
      <c r="L123" s="371"/>
      <c r="M123" s="371"/>
      <c r="N123" s="371"/>
      <c r="O123" s="371"/>
      <c r="P123" s="371"/>
      <c r="Q123" s="371">
        <f ca="1">IF(NOT(ISBLANK(OFFSET(Q121,-2,0))),OFFSET(Q121,-2,0)-OFFSET(Q121,0,-1),0)</f>
        <v>0</v>
      </c>
      <c r="R123" s="321"/>
      <c r="S123" s="319" t="s">
        <v>232</v>
      </c>
    </row>
    <row r="124" spans="1:19" ht="11.25" hidden="1" customHeight="1" x14ac:dyDescent="0.35">
      <c r="A124" s="357" t="s">
        <v>273</v>
      </c>
      <c r="B124" s="360" t="s">
        <v>77</v>
      </c>
      <c r="C124" s="372" t="str">
        <f>$C$16&amp;" "&amp;B124</f>
        <v>Imputed depreciation (straight line)</v>
      </c>
      <c r="D124" s="1186"/>
      <c r="E124" s="385" t="s">
        <v>274</v>
      </c>
      <c r="F124" s="961"/>
      <c r="G124" s="962"/>
      <c r="H124" s="962"/>
      <c r="I124" s="962"/>
      <c r="J124" s="962"/>
      <c r="K124" s="962"/>
      <c r="L124" s="962"/>
      <c r="M124" s="962"/>
      <c r="N124" s="962"/>
      <c r="O124" s="962"/>
      <c r="P124" s="962"/>
      <c r="Q124" s="407"/>
      <c r="R124" s="321" t="str">
        <f>IF(MID(S124,7,1)="D","  ","")</f>
        <v/>
      </c>
      <c r="S124" s="319" t="s">
        <v>145</v>
      </c>
    </row>
    <row r="125" spans="1:19" ht="11.25" hidden="1" customHeight="1" x14ac:dyDescent="0.35">
      <c r="A125" s="357" t="s">
        <v>275</v>
      </c>
      <c r="B125" s="363">
        <v>1</v>
      </c>
      <c r="C125" s="373" t="s">
        <v>90</v>
      </c>
      <c r="D125" s="1190"/>
      <c r="E125" s="385" t="s">
        <v>276</v>
      </c>
      <c r="F125" s="964"/>
      <c r="G125" s="965">
        <f ca="1">IF(OR(AND(G$5=0,NoZeroCol=1),AND(G$5=-99,NoResCol=1)),IF(G$5=0,OFFSET(InvInfo,$B119+30,0),SUM(OFFSET(G125,0,-1))),IF(G$5=0,OFFSET(InvInfo,$B119+30,0),SUM(OFFSET(G125,0,-1)))-OFFSET(G121,-2,0)+OFFSET(G125,-1,0)+G127)+IF(OFFSET(InvInfo,$B119+30,3)=1,OFFSET($E$963,$B119-1,G$8)-OFFSET($E$963,$B119-1,G$8-1),0)+IF(AND(OFFSET(InvInfo,$B119+30,4)=1,G$5=OFFSET(InvInfo,$B119+30,5)),$C126,0)+G$1185</f>
        <v>0</v>
      </c>
      <c r="H125" s="965">
        <f t="shared" ref="H125:Q125" ca="1" si="33">IF(OR(AND(H$5=0,NoZeroCol=1),AND(H$5=-99,NoResCol=1)),IF(H$5=0,OFFSET(InvInfo,$B119+30,0),SUM(OFFSET(H125,0,-1))),IF(H$5=0,OFFSET(InvInfo,$B119+30,0),SUM(OFFSET(H125,0,-1)))-OFFSET(H121,-2,0)+OFFSET(H125,-1,0)+H127)+IF(OFFSET(InvInfo,$B119+30,3)=1,OFFSET($E$963,$B119-1,H$8)-OFFSET($E$963,$B119-1,H$8-1),0)+IF(AND(OFFSET(InvInfo,$B119+30,4)=1,H$5=OFFSET(InvInfo,$B119+30,5)),$C126,0)+H$1185</f>
        <v>0</v>
      </c>
      <c r="I125" s="965">
        <f t="shared" ca="1" si="33"/>
        <v>0</v>
      </c>
      <c r="J125" s="965">
        <f t="shared" ca="1" si="33"/>
        <v>0</v>
      </c>
      <c r="K125" s="965">
        <f t="shared" ca="1" si="33"/>
        <v>0</v>
      </c>
      <c r="L125" s="965">
        <f t="shared" ca="1" si="33"/>
        <v>0</v>
      </c>
      <c r="M125" s="965">
        <f t="shared" ca="1" si="33"/>
        <v>0</v>
      </c>
      <c r="N125" s="965">
        <f t="shared" ca="1" si="33"/>
        <v>0</v>
      </c>
      <c r="O125" s="965">
        <f t="shared" ca="1" si="33"/>
        <v>0</v>
      </c>
      <c r="P125" s="965">
        <f t="shared" ca="1" si="33"/>
        <v>0</v>
      </c>
      <c r="Q125" s="963">
        <f t="shared" ca="1" si="33"/>
        <v>0</v>
      </c>
      <c r="R125" s="321" t="str">
        <f>IF(MID(S125,7,1)="D","  ","")</f>
        <v/>
      </c>
      <c r="S125" s="319" t="s">
        <v>229</v>
      </c>
    </row>
    <row r="126" spans="1:19" ht="11.25" hidden="1" customHeight="1" x14ac:dyDescent="0.35">
      <c r="A126" s="357" t="s">
        <v>277</v>
      </c>
      <c r="B126" s="376">
        <v>0</v>
      </c>
      <c r="C126" s="375">
        <f>C122</f>
        <v>0</v>
      </c>
      <c r="D126" s="1189">
        <v>1</v>
      </c>
      <c r="E126" s="1181" t="s">
        <v>278</v>
      </c>
      <c r="F126" s="370"/>
      <c r="G126" s="371"/>
      <c r="H126" s="371"/>
      <c r="I126" s="371"/>
      <c r="J126" s="371"/>
      <c r="K126" s="371"/>
      <c r="L126" s="371"/>
      <c r="M126" s="371"/>
      <c r="N126" s="371"/>
      <c r="O126" s="371"/>
      <c r="P126" s="371"/>
      <c r="Q126" s="368">
        <f ca="1">OFFSET(Q125,-6,0)</f>
        <v>0</v>
      </c>
      <c r="R126" s="321"/>
      <c r="S126" s="319" t="s">
        <v>232</v>
      </c>
    </row>
    <row r="127" spans="1:19" ht="11.25" hidden="1" customHeight="1" x14ac:dyDescent="0.35">
      <c r="A127" s="357" t="s">
        <v>279</v>
      </c>
      <c r="B127" s="376">
        <v>1</v>
      </c>
      <c r="C127" s="369" t="str">
        <f>""&amp;C123</f>
        <v/>
      </c>
      <c r="D127" s="1189">
        <v>1</v>
      </c>
      <c r="E127" s="1183" t="s">
        <v>280</v>
      </c>
      <c r="F127" s="370"/>
      <c r="G127" s="371"/>
      <c r="H127" s="371"/>
      <c r="I127" s="371"/>
      <c r="J127" s="371"/>
      <c r="K127" s="371"/>
      <c r="L127" s="371"/>
      <c r="M127" s="371"/>
      <c r="N127" s="371"/>
      <c r="O127" s="371"/>
      <c r="P127" s="371"/>
      <c r="Q127" s="371">
        <f ca="1">IF(NOT(ISBLANK(OFFSET(Q125,-6,0))),OFFSET(Q125,-6,0)-OFFSET(Q125,0,-1),0)</f>
        <v>0</v>
      </c>
      <c r="R127" s="321"/>
      <c r="S127" s="319" t="s">
        <v>232</v>
      </c>
    </row>
    <row r="128" spans="1:19" ht="11.25" hidden="1" customHeight="1" x14ac:dyDescent="0.35">
      <c r="A128" s="353">
        <v>0</v>
      </c>
      <c r="B128" s="354"/>
      <c r="C128" s="355"/>
      <c r="D128" s="1184"/>
      <c r="E128" s="1180" t="s">
        <v>281</v>
      </c>
      <c r="F128" s="317"/>
      <c r="G128" s="356"/>
      <c r="H128" s="356"/>
      <c r="I128" s="356"/>
      <c r="J128" s="356"/>
      <c r="K128" s="356"/>
      <c r="L128" s="356"/>
      <c r="M128" s="356"/>
      <c r="N128" s="356"/>
      <c r="O128" s="356"/>
      <c r="P128" s="356"/>
      <c r="Q128" s="356"/>
      <c r="R128" s="321"/>
      <c r="S128" s="319" t="s">
        <v>145</v>
      </c>
    </row>
    <row r="129" spans="1:19" ht="11.25" hidden="1" customHeight="1" x14ac:dyDescent="0.35">
      <c r="A129" s="357" t="s">
        <v>282</v>
      </c>
      <c r="B129" s="358">
        <v>12</v>
      </c>
      <c r="C129" s="359"/>
      <c r="D129" s="1185"/>
      <c r="E129" s="380" t="s">
        <v>283</v>
      </c>
      <c r="F129" s="959"/>
      <c r="G129" s="960"/>
      <c r="H129" s="960"/>
      <c r="I129" s="960"/>
      <c r="J129" s="960"/>
      <c r="K129" s="960"/>
      <c r="L129" s="960"/>
      <c r="M129" s="960"/>
      <c r="N129" s="960"/>
      <c r="O129" s="960"/>
      <c r="P129" s="960"/>
      <c r="Q129" s="957">
        <f ca="1">OFFSET(Q129,2,-1)</f>
        <v>0</v>
      </c>
      <c r="R129" s="321" t="str">
        <f>IF(MID(S129,7,1)="D","  ","")</f>
        <v/>
      </c>
      <c r="S129" s="319" t="s">
        <v>145</v>
      </c>
    </row>
    <row r="130" spans="1:19" ht="11.25" hidden="1" customHeight="1" x14ac:dyDescent="0.35">
      <c r="A130" s="357" t="s">
        <v>284</v>
      </c>
      <c r="B130" s="360" t="s">
        <v>77</v>
      </c>
      <c r="C130" s="361" t="str">
        <f ca="1">SpecsTxt!$G$12&amp;" "&amp;B130</f>
        <v>Depreciation (straight line)</v>
      </c>
      <c r="D130" s="1186"/>
      <c r="E130" s="385" t="s">
        <v>285</v>
      </c>
      <c r="F130" s="961"/>
      <c r="G130" s="962"/>
      <c r="H130" s="962"/>
      <c r="I130" s="962"/>
      <c r="J130" s="962"/>
      <c r="K130" s="962"/>
      <c r="L130" s="962"/>
      <c r="M130" s="962"/>
      <c r="N130" s="962"/>
      <c r="O130" s="962"/>
      <c r="P130" s="962"/>
      <c r="Q130" s="407"/>
      <c r="R130" s="321" t="str">
        <f>IF(MID(S130,7,1)="D","  ","")</f>
        <v/>
      </c>
      <c r="S130" s="319" t="s">
        <v>145</v>
      </c>
    </row>
    <row r="131" spans="1:19" ht="11.25" hidden="1" customHeight="1" x14ac:dyDescent="0.35">
      <c r="A131" s="357" t="s">
        <v>286</v>
      </c>
      <c r="B131" s="363">
        <v>1</v>
      </c>
      <c r="C131" s="364" t="s">
        <v>80</v>
      </c>
      <c r="D131" s="1187"/>
      <c r="E131" s="385" t="s">
        <v>287</v>
      </c>
      <c r="F131" s="961"/>
      <c r="G131" s="962">
        <f ca="1">IF(OR(AND(G$5=0,NoZeroCol=1),AND(G$5=-99,NoResCol=1)),IF(G$5=0,OFFSET(InvInfo,$B129,0),SUM(OFFSET(G131,0,-1))),IF(G$5=0,OFFSET(InvInfo,$B129,0),SUM(OFFSET(G131,0,-1)))-OFFSET(G131,-2,0)+OFFSET(G131,-1,0)+G133)+IF(OFFSET(InvInfo,$B129,3)=1,OFFSET($E$933,$B129-1,G$8)-OFFSET($E$933,$B129-1,G$8-1),0)+IF(AND(OFFSET(InvInfo,$B129,4)=1,G$5=OFFSET(InvInfo,$B129,5)),$C132,0)+G$1186</f>
        <v>0</v>
      </c>
      <c r="H131" s="962">
        <f t="shared" ref="H131:Q131" ca="1" si="34">IF(OR(AND(H$5=0,NoZeroCol=1),AND(H$5=-99,NoResCol=1)),IF(H$5=0,OFFSET(InvInfo,$B129,0),SUM(OFFSET(H131,0,-1))),IF(H$5=0,OFFSET(InvInfo,$B129,0),SUM(OFFSET(H131,0,-1)))-OFFSET(H131,-2,0)+OFFSET(H131,-1,0)+H133)+IF(OFFSET(InvInfo,$B129,3)=1,OFFSET($E$933,$B129-1,H$8)-OFFSET($E$933,$B129-1,H$8-1),0)+IF(AND(OFFSET(InvInfo,$B129,4)=1,H$5=OFFSET(InvInfo,$B129,5)),$C132,0)+H$1186</f>
        <v>0</v>
      </c>
      <c r="I131" s="962">
        <f t="shared" ca="1" si="34"/>
        <v>0</v>
      </c>
      <c r="J131" s="962">
        <f t="shared" ca="1" si="34"/>
        <v>0</v>
      </c>
      <c r="K131" s="962">
        <f t="shared" ca="1" si="34"/>
        <v>0</v>
      </c>
      <c r="L131" s="962">
        <f t="shared" ca="1" si="34"/>
        <v>0</v>
      </c>
      <c r="M131" s="962">
        <f t="shared" ca="1" si="34"/>
        <v>0</v>
      </c>
      <c r="N131" s="962">
        <f t="shared" ca="1" si="34"/>
        <v>0</v>
      </c>
      <c r="O131" s="962">
        <f t="shared" ca="1" si="34"/>
        <v>0</v>
      </c>
      <c r="P131" s="962">
        <f t="shared" ca="1" si="34"/>
        <v>0</v>
      </c>
      <c r="Q131" s="407">
        <f t="shared" ca="1" si="34"/>
        <v>0</v>
      </c>
      <c r="R131" s="321" t="str">
        <f>IF(MID(S131,7,1)="D","  ","")</f>
        <v/>
      </c>
      <c r="S131" s="319" t="s">
        <v>229</v>
      </c>
    </row>
    <row r="132" spans="1:19" ht="11.25" hidden="1" customHeight="1" x14ac:dyDescent="0.35">
      <c r="A132" s="357" t="s">
        <v>288</v>
      </c>
      <c r="B132" s="365">
        <v>1</v>
      </c>
      <c r="C132" s="366">
        <v>0</v>
      </c>
      <c r="D132" s="1188">
        <v>1</v>
      </c>
      <c r="E132" s="1181" t="s">
        <v>289</v>
      </c>
      <c r="F132" s="367"/>
      <c r="G132" s="368"/>
      <c r="H132" s="368"/>
      <c r="I132" s="368"/>
      <c r="J132" s="368"/>
      <c r="K132" s="368"/>
      <c r="L132" s="368"/>
      <c r="M132" s="368"/>
      <c r="N132" s="368"/>
      <c r="O132" s="368"/>
      <c r="P132" s="368"/>
      <c r="Q132" s="368">
        <f ca="1">OFFSET(Q131,-2,0)</f>
        <v>0</v>
      </c>
      <c r="R132" s="321"/>
      <c r="S132" s="319" t="s">
        <v>232</v>
      </c>
    </row>
    <row r="133" spans="1:19" ht="11.25" hidden="1" customHeight="1" x14ac:dyDescent="0.35">
      <c r="A133" s="357" t="s">
        <v>290</v>
      </c>
      <c r="B133" s="360">
        <v>1</v>
      </c>
      <c r="C133" s="369"/>
      <c r="D133" s="1189">
        <v>1</v>
      </c>
      <c r="E133" s="1182" t="s">
        <v>291</v>
      </c>
      <c r="F133" s="370"/>
      <c r="G133" s="371"/>
      <c r="H133" s="371"/>
      <c r="I133" s="371"/>
      <c r="J133" s="371"/>
      <c r="K133" s="371"/>
      <c r="L133" s="371"/>
      <c r="M133" s="371"/>
      <c r="N133" s="371"/>
      <c r="O133" s="371"/>
      <c r="P133" s="371"/>
      <c r="Q133" s="371">
        <f ca="1">IF(NOT(ISBLANK(OFFSET(Q131,-2,0))),OFFSET(Q131,-2,0)-OFFSET(Q131,0,-1),0)</f>
        <v>0</v>
      </c>
      <c r="R133" s="321"/>
      <c r="S133" s="319" t="s">
        <v>232</v>
      </c>
    </row>
    <row r="134" spans="1:19" ht="11.25" hidden="1" customHeight="1" x14ac:dyDescent="0.35">
      <c r="A134" s="357" t="s">
        <v>292</v>
      </c>
      <c r="B134" s="360" t="s">
        <v>77</v>
      </c>
      <c r="C134" s="372" t="str">
        <f>$C$16&amp;" "&amp;B134</f>
        <v>Imputed depreciation (straight line)</v>
      </c>
      <c r="D134" s="1186"/>
      <c r="E134" s="385" t="s">
        <v>293</v>
      </c>
      <c r="F134" s="961"/>
      <c r="G134" s="962"/>
      <c r="H134" s="962"/>
      <c r="I134" s="962"/>
      <c r="J134" s="962"/>
      <c r="K134" s="962"/>
      <c r="L134" s="962"/>
      <c r="M134" s="962"/>
      <c r="N134" s="962"/>
      <c r="O134" s="962"/>
      <c r="P134" s="962"/>
      <c r="Q134" s="407"/>
      <c r="R134" s="321" t="str">
        <f>IF(MID(S134,7,1)="D","  ","")</f>
        <v/>
      </c>
      <c r="S134" s="319" t="s">
        <v>145</v>
      </c>
    </row>
    <row r="135" spans="1:19" ht="11.25" hidden="1" customHeight="1" x14ac:dyDescent="0.35">
      <c r="A135" s="357" t="s">
        <v>294</v>
      </c>
      <c r="B135" s="363">
        <v>1</v>
      </c>
      <c r="C135" s="373" t="s">
        <v>90</v>
      </c>
      <c r="D135" s="1190"/>
      <c r="E135" s="385" t="s">
        <v>295</v>
      </c>
      <c r="F135" s="964"/>
      <c r="G135" s="965">
        <f ca="1">IF(OR(AND(G$5=0,NoZeroCol=1),AND(G$5=-99,NoResCol=1)),IF(G$5=0,OFFSET(InvInfo,$B129+30,0),SUM(OFFSET(G135,0,-1))),IF(G$5=0,OFFSET(InvInfo,$B129+30,0),SUM(OFFSET(G135,0,-1)))-OFFSET(G131,-2,0)+OFFSET(G135,-1,0)+G137)+IF(OFFSET(InvInfo,$B129+30,3)=1,OFFSET($E$963,$B129-1,G$8)-OFFSET($E$963,$B129-1,G$8-1),0)+IF(AND(OFFSET(InvInfo,$B129+30,4)=1,G$5=OFFSET(InvInfo,$B129+30,5)),$C136,0)+G$1186</f>
        <v>0</v>
      </c>
      <c r="H135" s="965">
        <f t="shared" ref="H135:Q135" ca="1" si="35">IF(OR(AND(H$5=0,NoZeroCol=1),AND(H$5=-99,NoResCol=1)),IF(H$5=0,OFFSET(InvInfo,$B129+30,0),SUM(OFFSET(H135,0,-1))),IF(H$5=0,OFFSET(InvInfo,$B129+30,0),SUM(OFFSET(H135,0,-1)))-OFFSET(H131,-2,0)+OFFSET(H135,-1,0)+H137)+IF(OFFSET(InvInfo,$B129+30,3)=1,OFFSET($E$963,$B129-1,H$8)-OFFSET($E$963,$B129-1,H$8-1),0)+IF(AND(OFFSET(InvInfo,$B129+30,4)=1,H$5=OFFSET(InvInfo,$B129+30,5)),$C136,0)+H$1186</f>
        <v>0</v>
      </c>
      <c r="I135" s="965">
        <f t="shared" ca="1" si="35"/>
        <v>0</v>
      </c>
      <c r="J135" s="965">
        <f t="shared" ca="1" si="35"/>
        <v>0</v>
      </c>
      <c r="K135" s="965">
        <f t="shared" ca="1" si="35"/>
        <v>0</v>
      </c>
      <c r="L135" s="965">
        <f t="shared" ca="1" si="35"/>
        <v>0</v>
      </c>
      <c r="M135" s="965">
        <f t="shared" ca="1" si="35"/>
        <v>0</v>
      </c>
      <c r="N135" s="965">
        <f t="shared" ca="1" si="35"/>
        <v>0</v>
      </c>
      <c r="O135" s="965">
        <f t="shared" ca="1" si="35"/>
        <v>0</v>
      </c>
      <c r="P135" s="965">
        <f t="shared" ca="1" si="35"/>
        <v>0</v>
      </c>
      <c r="Q135" s="963">
        <f t="shared" ca="1" si="35"/>
        <v>0</v>
      </c>
      <c r="R135" s="321" t="str">
        <f>IF(MID(S135,7,1)="D","  ","")</f>
        <v/>
      </c>
      <c r="S135" s="319" t="s">
        <v>229</v>
      </c>
    </row>
    <row r="136" spans="1:19" ht="11.25" hidden="1" customHeight="1" x14ac:dyDescent="0.35">
      <c r="A136" s="357" t="s">
        <v>296</v>
      </c>
      <c r="B136" s="376">
        <v>0</v>
      </c>
      <c r="C136" s="375">
        <f>C132</f>
        <v>0</v>
      </c>
      <c r="D136" s="1189">
        <v>1</v>
      </c>
      <c r="E136" s="1181" t="s">
        <v>297</v>
      </c>
      <c r="F136" s="370"/>
      <c r="G136" s="371"/>
      <c r="H136" s="371"/>
      <c r="I136" s="371"/>
      <c r="J136" s="371"/>
      <c r="K136" s="371"/>
      <c r="L136" s="371"/>
      <c r="M136" s="371"/>
      <c r="N136" s="371"/>
      <c r="O136" s="371"/>
      <c r="P136" s="371"/>
      <c r="Q136" s="368">
        <f ca="1">OFFSET(Q135,-6,0)</f>
        <v>0</v>
      </c>
      <c r="R136" s="321"/>
      <c r="S136" s="319" t="s">
        <v>232</v>
      </c>
    </row>
    <row r="137" spans="1:19" ht="11.25" hidden="1" customHeight="1" x14ac:dyDescent="0.35">
      <c r="A137" s="357" t="s">
        <v>298</v>
      </c>
      <c r="B137" s="376">
        <v>1</v>
      </c>
      <c r="C137" s="369" t="str">
        <f>""&amp;C133</f>
        <v/>
      </c>
      <c r="D137" s="1189">
        <v>1</v>
      </c>
      <c r="E137" s="1183" t="s">
        <v>299</v>
      </c>
      <c r="F137" s="370"/>
      <c r="G137" s="371"/>
      <c r="H137" s="371"/>
      <c r="I137" s="371"/>
      <c r="J137" s="371"/>
      <c r="K137" s="371"/>
      <c r="L137" s="371"/>
      <c r="M137" s="371"/>
      <c r="N137" s="371"/>
      <c r="O137" s="371"/>
      <c r="P137" s="371"/>
      <c r="Q137" s="371">
        <f ca="1">IF(NOT(ISBLANK(OFFSET(Q135,-6,0))),OFFSET(Q135,-6,0)-OFFSET(Q135,0,-1),0)</f>
        <v>0</v>
      </c>
      <c r="R137" s="321"/>
      <c r="S137" s="319" t="s">
        <v>232</v>
      </c>
    </row>
    <row r="138" spans="1:19" ht="11.25" hidden="1" customHeight="1" x14ac:dyDescent="0.35">
      <c r="A138" s="353">
        <v>0</v>
      </c>
      <c r="B138" s="354"/>
      <c r="C138" s="355"/>
      <c r="D138" s="1184"/>
      <c r="E138" s="1180" t="s">
        <v>300</v>
      </c>
      <c r="F138" s="317"/>
      <c r="G138" s="356"/>
      <c r="H138" s="356"/>
      <c r="I138" s="356"/>
      <c r="J138" s="356"/>
      <c r="K138" s="356"/>
      <c r="L138" s="356"/>
      <c r="M138" s="356"/>
      <c r="N138" s="356"/>
      <c r="O138" s="356"/>
      <c r="P138" s="356"/>
      <c r="Q138" s="356"/>
      <c r="R138" s="321"/>
      <c r="S138" s="319" t="s">
        <v>145</v>
      </c>
    </row>
    <row r="139" spans="1:19" ht="11.25" hidden="1" customHeight="1" x14ac:dyDescent="0.35">
      <c r="A139" s="357" t="s">
        <v>301</v>
      </c>
      <c r="B139" s="358">
        <v>13</v>
      </c>
      <c r="C139" s="359"/>
      <c r="D139" s="1185"/>
      <c r="E139" s="380" t="s">
        <v>302</v>
      </c>
      <c r="F139" s="959"/>
      <c r="G139" s="960"/>
      <c r="H139" s="960"/>
      <c r="I139" s="960"/>
      <c r="J139" s="960"/>
      <c r="K139" s="960"/>
      <c r="L139" s="960"/>
      <c r="M139" s="960"/>
      <c r="N139" s="960"/>
      <c r="O139" s="960"/>
      <c r="P139" s="960"/>
      <c r="Q139" s="957">
        <f ca="1">OFFSET(Q139,2,-1)</f>
        <v>0</v>
      </c>
      <c r="R139" s="321" t="str">
        <f>IF(MID(S139,7,1)="D","  ","")</f>
        <v/>
      </c>
      <c r="S139" s="319" t="s">
        <v>145</v>
      </c>
    </row>
    <row r="140" spans="1:19" ht="11.25" hidden="1" customHeight="1" x14ac:dyDescent="0.35">
      <c r="A140" s="357" t="s">
        <v>303</v>
      </c>
      <c r="B140" s="360" t="s">
        <v>77</v>
      </c>
      <c r="C140" s="361" t="str">
        <f ca="1">SpecsTxt!$G$12&amp;" "&amp;B140</f>
        <v>Depreciation (straight line)</v>
      </c>
      <c r="D140" s="1186"/>
      <c r="E140" s="385" t="s">
        <v>304</v>
      </c>
      <c r="F140" s="961"/>
      <c r="G140" s="962"/>
      <c r="H140" s="962"/>
      <c r="I140" s="962"/>
      <c r="J140" s="962"/>
      <c r="K140" s="962"/>
      <c r="L140" s="962"/>
      <c r="M140" s="962"/>
      <c r="N140" s="962"/>
      <c r="O140" s="962"/>
      <c r="P140" s="962"/>
      <c r="Q140" s="407"/>
      <c r="R140" s="321" t="str">
        <f>IF(MID(S140,7,1)="D","  ","")</f>
        <v/>
      </c>
      <c r="S140" s="319" t="s">
        <v>145</v>
      </c>
    </row>
    <row r="141" spans="1:19" ht="11.25" hidden="1" customHeight="1" x14ac:dyDescent="0.35">
      <c r="A141" s="357" t="s">
        <v>305</v>
      </c>
      <c r="B141" s="363">
        <v>1</v>
      </c>
      <c r="C141" s="364" t="s">
        <v>80</v>
      </c>
      <c r="D141" s="1187"/>
      <c r="E141" s="385" t="s">
        <v>306</v>
      </c>
      <c r="F141" s="961"/>
      <c r="G141" s="962">
        <f ca="1">IF(OR(AND(G$5=0,NoZeroCol=1),AND(G$5=-99,NoResCol=1)),IF(G$5=0,OFFSET(InvInfo,$B139,0),SUM(OFFSET(G141,0,-1))),IF(G$5=0,OFFSET(InvInfo,$B139,0),SUM(OFFSET(G141,0,-1)))-OFFSET(G141,-2,0)+OFFSET(G141,-1,0)+G143)+IF(OFFSET(InvInfo,$B139,3)=1,OFFSET($E$933,$B139-1,G$8)-OFFSET($E$933,$B139-1,G$8-1),0)+IF(AND(OFFSET(InvInfo,$B139,4)=1,G$5=OFFSET(InvInfo,$B139,5)),$C142,0)+G$1187</f>
        <v>0</v>
      </c>
      <c r="H141" s="962">
        <f t="shared" ref="H141:Q141" ca="1" si="36">IF(OR(AND(H$5=0,NoZeroCol=1),AND(H$5=-99,NoResCol=1)),IF(H$5=0,OFFSET(InvInfo,$B139,0),SUM(OFFSET(H141,0,-1))),IF(H$5=0,OFFSET(InvInfo,$B139,0),SUM(OFFSET(H141,0,-1)))-OFFSET(H141,-2,0)+OFFSET(H141,-1,0)+H143)+IF(OFFSET(InvInfo,$B139,3)=1,OFFSET($E$933,$B139-1,H$8)-OFFSET($E$933,$B139-1,H$8-1),0)+IF(AND(OFFSET(InvInfo,$B139,4)=1,H$5=OFFSET(InvInfo,$B139,5)),$C142,0)+H$1187</f>
        <v>0</v>
      </c>
      <c r="I141" s="962">
        <f t="shared" ca="1" si="36"/>
        <v>0</v>
      </c>
      <c r="J141" s="962">
        <f t="shared" ca="1" si="36"/>
        <v>0</v>
      </c>
      <c r="K141" s="962">
        <f t="shared" ca="1" si="36"/>
        <v>0</v>
      </c>
      <c r="L141" s="962">
        <f t="shared" ca="1" si="36"/>
        <v>0</v>
      </c>
      <c r="M141" s="962">
        <f t="shared" ca="1" si="36"/>
        <v>0</v>
      </c>
      <c r="N141" s="962">
        <f t="shared" ca="1" si="36"/>
        <v>0</v>
      </c>
      <c r="O141" s="962">
        <f t="shared" ca="1" si="36"/>
        <v>0</v>
      </c>
      <c r="P141" s="962">
        <f t="shared" ca="1" si="36"/>
        <v>0</v>
      </c>
      <c r="Q141" s="407">
        <f t="shared" ca="1" si="36"/>
        <v>0</v>
      </c>
      <c r="R141" s="321" t="str">
        <f>IF(MID(S141,7,1)="D","  ","")</f>
        <v/>
      </c>
      <c r="S141" s="319" t="s">
        <v>229</v>
      </c>
    </row>
    <row r="142" spans="1:19" ht="11.25" hidden="1" customHeight="1" x14ac:dyDescent="0.35">
      <c r="A142" s="357" t="s">
        <v>307</v>
      </c>
      <c r="B142" s="365">
        <v>1</v>
      </c>
      <c r="C142" s="366">
        <v>0</v>
      </c>
      <c r="D142" s="1188">
        <v>1</v>
      </c>
      <c r="E142" s="1181" t="s">
        <v>308</v>
      </c>
      <c r="F142" s="367"/>
      <c r="G142" s="368"/>
      <c r="H142" s="368"/>
      <c r="I142" s="368"/>
      <c r="J142" s="368"/>
      <c r="K142" s="368"/>
      <c r="L142" s="368"/>
      <c r="M142" s="368"/>
      <c r="N142" s="368"/>
      <c r="O142" s="368"/>
      <c r="P142" s="368"/>
      <c r="Q142" s="368">
        <f ca="1">OFFSET(Q141,-2,0)</f>
        <v>0</v>
      </c>
      <c r="R142" s="321"/>
      <c r="S142" s="319" t="s">
        <v>232</v>
      </c>
    </row>
    <row r="143" spans="1:19" ht="11.25" hidden="1" customHeight="1" x14ac:dyDescent="0.35">
      <c r="A143" s="357" t="s">
        <v>309</v>
      </c>
      <c r="B143" s="360">
        <v>1</v>
      </c>
      <c r="C143" s="369"/>
      <c r="D143" s="1189">
        <v>1</v>
      </c>
      <c r="E143" s="1182" t="s">
        <v>310</v>
      </c>
      <c r="F143" s="370"/>
      <c r="G143" s="371"/>
      <c r="H143" s="371"/>
      <c r="I143" s="371"/>
      <c r="J143" s="371"/>
      <c r="K143" s="371"/>
      <c r="L143" s="371"/>
      <c r="M143" s="371"/>
      <c r="N143" s="371"/>
      <c r="O143" s="371"/>
      <c r="P143" s="371"/>
      <c r="Q143" s="371">
        <f ca="1">IF(NOT(ISBLANK(OFFSET(Q141,-2,0))),OFFSET(Q141,-2,0)-OFFSET(Q141,0,-1),0)</f>
        <v>0</v>
      </c>
      <c r="R143" s="321"/>
      <c r="S143" s="319" t="s">
        <v>232</v>
      </c>
    </row>
    <row r="144" spans="1:19" ht="11.25" hidden="1" customHeight="1" x14ac:dyDescent="0.35">
      <c r="A144" s="357" t="s">
        <v>311</v>
      </c>
      <c r="B144" s="360" t="s">
        <v>77</v>
      </c>
      <c r="C144" s="372" t="str">
        <f>$C$16&amp;" "&amp;B144</f>
        <v>Imputed depreciation (straight line)</v>
      </c>
      <c r="D144" s="1186"/>
      <c r="E144" s="385" t="s">
        <v>312</v>
      </c>
      <c r="F144" s="961"/>
      <c r="G144" s="962"/>
      <c r="H144" s="962"/>
      <c r="I144" s="962"/>
      <c r="J144" s="962"/>
      <c r="K144" s="962"/>
      <c r="L144" s="962"/>
      <c r="M144" s="962"/>
      <c r="N144" s="962"/>
      <c r="O144" s="962"/>
      <c r="P144" s="962"/>
      <c r="Q144" s="407"/>
      <c r="R144" s="321" t="str">
        <f>IF(MID(S144,7,1)="D","  ","")</f>
        <v/>
      </c>
      <c r="S144" s="319" t="s">
        <v>145</v>
      </c>
    </row>
    <row r="145" spans="1:19" ht="11.25" hidden="1" customHeight="1" x14ac:dyDescent="0.35">
      <c r="A145" s="357" t="s">
        <v>313</v>
      </c>
      <c r="B145" s="363">
        <v>1</v>
      </c>
      <c r="C145" s="373" t="s">
        <v>90</v>
      </c>
      <c r="D145" s="1190"/>
      <c r="E145" s="385" t="s">
        <v>314</v>
      </c>
      <c r="F145" s="964"/>
      <c r="G145" s="965">
        <f ca="1">IF(OR(AND(G$5=0,NoZeroCol=1),AND(G$5=-99,NoResCol=1)),IF(G$5=0,OFFSET(InvInfo,$B139+30,0),SUM(OFFSET(G145,0,-1))),IF(G$5=0,OFFSET(InvInfo,$B139+30,0),SUM(OFFSET(G145,0,-1)))-OFFSET(G141,-2,0)+OFFSET(G145,-1,0)+G147)+IF(OFFSET(InvInfo,$B139+30,3)=1,OFFSET($E$963,$B139-1,G$8)-OFFSET($E$963,$B139-1,G$8-1),0)+IF(AND(OFFSET(InvInfo,$B139+30,4)=1,G$5=OFFSET(InvInfo,$B139+30,5)),$C146,0)+G$1187</f>
        <v>0</v>
      </c>
      <c r="H145" s="965">
        <f t="shared" ref="H145:Q145" ca="1" si="37">IF(OR(AND(H$5=0,NoZeroCol=1),AND(H$5=-99,NoResCol=1)),IF(H$5=0,OFFSET(InvInfo,$B139+30,0),SUM(OFFSET(H145,0,-1))),IF(H$5=0,OFFSET(InvInfo,$B139+30,0),SUM(OFFSET(H145,0,-1)))-OFFSET(H141,-2,0)+OFFSET(H145,-1,0)+H147)+IF(OFFSET(InvInfo,$B139+30,3)=1,OFFSET($E$963,$B139-1,H$8)-OFFSET($E$963,$B139-1,H$8-1),0)+IF(AND(OFFSET(InvInfo,$B139+30,4)=1,H$5=OFFSET(InvInfo,$B139+30,5)),$C146,0)+H$1187</f>
        <v>0</v>
      </c>
      <c r="I145" s="965">
        <f t="shared" ca="1" si="37"/>
        <v>0</v>
      </c>
      <c r="J145" s="965">
        <f t="shared" ca="1" si="37"/>
        <v>0</v>
      </c>
      <c r="K145" s="965">
        <f t="shared" ca="1" si="37"/>
        <v>0</v>
      </c>
      <c r="L145" s="965">
        <f t="shared" ca="1" si="37"/>
        <v>0</v>
      </c>
      <c r="M145" s="965">
        <f t="shared" ca="1" si="37"/>
        <v>0</v>
      </c>
      <c r="N145" s="965">
        <f t="shared" ca="1" si="37"/>
        <v>0</v>
      </c>
      <c r="O145" s="965">
        <f t="shared" ca="1" si="37"/>
        <v>0</v>
      </c>
      <c r="P145" s="965">
        <f t="shared" ca="1" si="37"/>
        <v>0</v>
      </c>
      <c r="Q145" s="963">
        <f t="shared" ca="1" si="37"/>
        <v>0</v>
      </c>
      <c r="R145" s="321" t="str">
        <f>IF(MID(S145,7,1)="D","  ","")</f>
        <v/>
      </c>
      <c r="S145" s="319" t="s">
        <v>229</v>
      </c>
    </row>
    <row r="146" spans="1:19" ht="11.25" hidden="1" customHeight="1" x14ac:dyDescent="0.35">
      <c r="A146" s="357" t="s">
        <v>315</v>
      </c>
      <c r="B146" s="376">
        <v>0</v>
      </c>
      <c r="C146" s="375">
        <f>C142</f>
        <v>0</v>
      </c>
      <c r="D146" s="1189">
        <v>1</v>
      </c>
      <c r="E146" s="1181" t="s">
        <v>316</v>
      </c>
      <c r="F146" s="370"/>
      <c r="G146" s="371"/>
      <c r="H146" s="371"/>
      <c r="I146" s="371"/>
      <c r="J146" s="371"/>
      <c r="K146" s="371"/>
      <c r="L146" s="371"/>
      <c r="M146" s="371"/>
      <c r="N146" s="371"/>
      <c r="O146" s="371"/>
      <c r="P146" s="371"/>
      <c r="Q146" s="368">
        <f ca="1">OFFSET(Q145,-6,0)</f>
        <v>0</v>
      </c>
      <c r="R146" s="321"/>
      <c r="S146" s="319" t="s">
        <v>232</v>
      </c>
    </row>
    <row r="147" spans="1:19" ht="11.25" hidden="1" customHeight="1" x14ac:dyDescent="0.35">
      <c r="A147" s="357" t="s">
        <v>317</v>
      </c>
      <c r="B147" s="376">
        <v>1</v>
      </c>
      <c r="C147" s="369" t="str">
        <f>""&amp;C143</f>
        <v/>
      </c>
      <c r="D147" s="1189">
        <v>1</v>
      </c>
      <c r="E147" s="1183" t="s">
        <v>318</v>
      </c>
      <c r="F147" s="370"/>
      <c r="G147" s="371"/>
      <c r="H147" s="371"/>
      <c r="I147" s="371"/>
      <c r="J147" s="371"/>
      <c r="K147" s="371"/>
      <c r="L147" s="371"/>
      <c r="M147" s="371"/>
      <c r="N147" s="371"/>
      <c r="O147" s="371"/>
      <c r="P147" s="371"/>
      <c r="Q147" s="371">
        <f ca="1">IF(NOT(ISBLANK(OFFSET(Q145,-6,0))),OFFSET(Q145,-6,0)-OFFSET(Q145,0,-1),0)</f>
        <v>0</v>
      </c>
      <c r="R147" s="321"/>
      <c r="S147" s="319" t="s">
        <v>232</v>
      </c>
    </row>
    <row r="148" spans="1:19" ht="11.25" hidden="1" customHeight="1" x14ac:dyDescent="0.35">
      <c r="A148" s="353">
        <v>0</v>
      </c>
      <c r="B148" s="354"/>
      <c r="C148" s="355"/>
      <c r="D148" s="1184"/>
      <c r="E148" s="1180" t="s">
        <v>319</v>
      </c>
      <c r="F148" s="317"/>
      <c r="G148" s="356"/>
      <c r="H148" s="356"/>
      <c r="I148" s="356"/>
      <c r="J148" s="356"/>
      <c r="K148" s="356"/>
      <c r="L148" s="356"/>
      <c r="M148" s="356"/>
      <c r="N148" s="356"/>
      <c r="O148" s="356"/>
      <c r="P148" s="356"/>
      <c r="Q148" s="356"/>
      <c r="R148" s="321"/>
      <c r="S148" s="319" t="s">
        <v>145</v>
      </c>
    </row>
    <row r="149" spans="1:19" ht="11.25" hidden="1" customHeight="1" x14ac:dyDescent="0.35">
      <c r="A149" s="357" t="s">
        <v>320</v>
      </c>
      <c r="B149" s="358">
        <v>14</v>
      </c>
      <c r="C149" s="359"/>
      <c r="D149" s="1185"/>
      <c r="E149" s="380" t="s">
        <v>321</v>
      </c>
      <c r="F149" s="959"/>
      <c r="G149" s="960"/>
      <c r="H149" s="960"/>
      <c r="I149" s="960"/>
      <c r="J149" s="960"/>
      <c r="K149" s="960"/>
      <c r="L149" s="960"/>
      <c r="M149" s="960"/>
      <c r="N149" s="960"/>
      <c r="O149" s="960"/>
      <c r="P149" s="960"/>
      <c r="Q149" s="957">
        <f ca="1">OFFSET(Q149,2,-1)</f>
        <v>0</v>
      </c>
      <c r="R149" s="321" t="str">
        <f>IF(MID(S149,7,1)="D","  ","")</f>
        <v/>
      </c>
      <c r="S149" s="319" t="s">
        <v>145</v>
      </c>
    </row>
    <row r="150" spans="1:19" ht="11.25" hidden="1" customHeight="1" x14ac:dyDescent="0.35">
      <c r="A150" s="357" t="s">
        <v>322</v>
      </c>
      <c r="B150" s="360" t="s">
        <v>77</v>
      </c>
      <c r="C150" s="361" t="str">
        <f ca="1">SpecsTxt!$G$12&amp;" "&amp;B150</f>
        <v>Depreciation (straight line)</v>
      </c>
      <c r="D150" s="1186"/>
      <c r="E150" s="385" t="s">
        <v>323</v>
      </c>
      <c r="F150" s="961"/>
      <c r="G150" s="962"/>
      <c r="H150" s="962"/>
      <c r="I150" s="962"/>
      <c r="J150" s="962"/>
      <c r="K150" s="962"/>
      <c r="L150" s="962"/>
      <c r="M150" s="962"/>
      <c r="N150" s="962"/>
      <c r="O150" s="962"/>
      <c r="P150" s="962"/>
      <c r="Q150" s="407"/>
      <c r="R150" s="321" t="str">
        <f>IF(MID(S150,7,1)="D","  ","")</f>
        <v/>
      </c>
      <c r="S150" s="319" t="s">
        <v>145</v>
      </c>
    </row>
    <row r="151" spans="1:19" ht="11.25" hidden="1" customHeight="1" x14ac:dyDescent="0.35">
      <c r="A151" s="357" t="s">
        <v>324</v>
      </c>
      <c r="B151" s="363">
        <v>1</v>
      </c>
      <c r="C151" s="364" t="s">
        <v>80</v>
      </c>
      <c r="D151" s="1187"/>
      <c r="E151" s="385" t="s">
        <v>325</v>
      </c>
      <c r="F151" s="961"/>
      <c r="G151" s="962">
        <f ca="1">IF(OR(AND(G$5=0,NoZeroCol=1),AND(G$5=-99,NoResCol=1)),IF(G$5=0,OFFSET(InvInfo,$B149,0),SUM(OFFSET(G151,0,-1))),IF(G$5=0,OFFSET(InvInfo,$B149,0),SUM(OFFSET(G151,0,-1)))-OFFSET(G151,-2,0)+OFFSET(G151,-1,0)+G153)+IF(OFFSET(InvInfo,$B149,3)=1,OFFSET($E$933,$B149-1,G$8)-OFFSET($E$933,$B149-1,G$8-1),0)+IF(AND(OFFSET(InvInfo,$B149,4)=1,G$5=OFFSET(InvInfo,$B149,5)),$C152,0)+G$1188</f>
        <v>0</v>
      </c>
      <c r="H151" s="962">
        <f t="shared" ref="H151:Q151" ca="1" si="38">IF(OR(AND(H$5=0,NoZeroCol=1),AND(H$5=-99,NoResCol=1)),IF(H$5=0,OFFSET(InvInfo,$B149,0),SUM(OFFSET(H151,0,-1))),IF(H$5=0,OFFSET(InvInfo,$B149,0),SUM(OFFSET(H151,0,-1)))-OFFSET(H151,-2,0)+OFFSET(H151,-1,0)+H153)+IF(OFFSET(InvInfo,$B149,3)=1,OFFSET($E$933,$B149-1,H$8)-OFFSET($E$933,$B149-1,H$8-1),0)+IF(AND(OFFSET(InvInfo,$B149,4)=1,H$5=OFFSET(InvInfo,$B149,5)),$C152,0)+H$1188</f>
        <v>0</v>
      </c>
      <c r="I151" s="962">
        <f t="shared" ca="1" si="38"/>
        <v>0</v>
      </c>
      <c r="J151" s="962">
        <f t="shared" ca="1" si="38"/>
        <v>0</v>
      </c>
      <c r="K151" s="962">
        <f t="shared" ca="1" si="38"/>
        <v>0</v>
      </c>
      <c r="L151" s="962">
        <f t="shared" ca="1" si="38"/>
        <v>0</v>
      </c>
      <c r="M151" s="962">
        <f t="shared" ca="1" si="38"/>
        <v>0</v>
      </c>
      <c r="N151" s="962">
        <f t="shared" ca="1" si="38"/>
        <v>0</v>
      </c>
      <c r="O151" s="962">
        <f t="shared" ca="1" si="38"/>
        <v>0</v>
      </c>
      <c r="P151" s="962">
        <f t="shared" ca="1" si="38"/>
        <v>0</v>
      </c>
      <c r="Q151" s="407">
        <f t="shared" ca="1" si="38"/>
        <v>0</v>
      </c>
      <c r="R151" s="321" t="str">
        <f>IF(MID(S151,7,1)="D","  ","")</f>
        <v/>
      </c>
      <c r="S151" s="319" t="s">
        <v>229</v>
      </c>
    </row>
    <row r="152" spans="1:19" ht="11.25" hidden="1" customHeight="1" x14ac:dyDescent="0.35">
      <c r="A152" s="357" t="s">
        <v>326</v>
      </c>
      <c r="B152" s="365">
        <v>1</v>
      </c>
      <c r="C152" s="366">
        <v>0</v>
      </c>
      <c r="D152" s="1188">
        <v>1</v>
      </c>
      <c r="E152" s="1181" t="s">
        <v>327</v>
      </c>
      <c r="F152" s="367"/>
      <c r="G152" s="368"/>
      <c r="H152" s="368"/>
      <c r="I152" s="368"/>
      <c r="J152" s="368"/>
      <c r="K152" s="368"/>
      <c r="L152" s="368"/>
      <c r="M152" s="368"/>
      <c r="N152" s="368"/>
      <c r="O152" s="368"/>
      <c r="P152" s="368"/>
      <c r="Q152" s="368">
        <f ca="1">OFFSET(Q151,-2,0)</f>
        <v>0</v>
      </c>
      <c r="R152" s="321"/>
      <c r="S152" s="319" t="s">
        <v>232</v>
      </c>
    </row>
    <row r="153" spans="1:19" ht="11.25" hidden="1" customHeight="1" x14ac:dyDescent="0.35">
      <c r="A153" s="357" t="s">
        <v>328</v>
      </c>
      <c r="B153" s="360">
        <v>1</v>
      </c>
      <c r="C153" s="369"/>
      <c r="D153" s="1189">
        <v>1</v>
      </c>
      <c r="E153" s="1182" t="s">
        <v>329</v>
      </c>
      <c r="F153" s="370"/>
      <c r="G153" s="371"/>
      <c r="H153" s="371"/>
      <c r="I153" s="371"/>
      <c r="J153" s="371"/>
      <c r="K153" s="371"/>
      <c r="L153" s="371"/>
      <c r="M153" s="371"/>
      <c r="N153" s="371"/>
      <c r="O153" s="371"/>
      <c r="P153" s="371"/>
      <c r="Q153" s="371">
        <f ca="1">IF(NOT(ISBLANK(OFFSET(Q151,-2,0))),OFFSET(Q151,-2,0)-OFFSET(Q151,0,-1),0)</f>
        <v>0</v>
      </c>
      <c r="R153" s="321"/>
      <c r="S153" s="319" t="s">
        <v>232</v>
      </c>
    </row>
    <row r="154" spans="1:19" ht="11.25" hidden="1" customHeight="1" x14ac:dyDescent="0.35">
      <c r="A154" s="357" t="s">
        <v>330</v>
      </c>
      <c r="B154" s="360" t="s">
        <v>77</v>
      </c>
      <c r="C154" s="372" t="str">
        <f>$C$16&amp;" "&amp;B154</f>
        <v>Imputed depreciation (straight line)</v>
      </c>
      <c r="D154" s="1186"/>
      <c r="E154" s="385" t="s">
        <v>331</v>
      </c>
      <c r="F154" s="961"/>
      <c r="G154" s="962"/>
      <c r="H154" s="962"/>
      <c r="I154" s="962"/>
      <c r="J154" s="962"/>
      <c r="K154" s="962"/>
      <c r="L154" s="962"/>
      <c r="M154" s="962"/>
      <c r="N154" s="962"/>
      <c r="O154" s="962"/>
      <c r="P154" s="962"/>
      <c r="Q154" s="407"/>
      <c r="R154" s="321" t="str">
        <f>IF(MID(S154,7,1)="D","  ","")</f>
        <v/>
      </c>
      <c r="S154" s="319" t="s">
        <v>145</v>
      </c>
    </row>
    <row r="155" spans="1:19" ht="11.25" hidden="1" customHeight="1" x14ac:dyDescent="0.35">
      <c r="A155" s="357" t="s">
        <v>332</v>
      </c>
      <c r="B155" s="363">
        <v>1</v>
      </c>
      <c r="C155" s="373" t="s">
        <v>90</v>
      </c>
      <c r="D155" s="1190"/>
      <c r="E155" s="385" t="s">
        <v>333</v>
      </c>
      <c r="F155" s="964"/>
      <c r="G155" s="965">
        <f ca="1">IF(OR(AND(G$5=0,NoZeroCol=1),AND(G$5=-99,NoResCol=1)),IF(G$5=0,OFFSET(InvInfo,$B149+30,0),SUM(OFFSET(G155,0,-1))),IF(G$5=0,OFFSET(InvInfo,$B149+30,0),SUM(OFFSET(G155,0,-1)))-OFFSET(G151,-2,0)+OFFSET(G155,-1,0)+G157)+IF(OFFSET(InvInfo,$B149+30,3)=1,OFFSET($E$963,$B149-1,G$8)-OFFSET($E$963,$B149-1,G$8-1),0)+IF(AND(OFFSET(InvInfo,$B149+30,4)=1,G$5=OFFSET(InvInfo,$B149+30,5)),$C156,0)+G$1188</f>
        <v>0</v>
      </c>
      <c r="H155" s="965">
        <f t="shared" ref="H155:Q155" ca="1" si="39">IF(OR(AND(H$5=0,NoZeroCol=1),AND(H$5=-99,NoResCol=1)),IF(H$5=0,OFFSET(InvInfo,$B149+30,0),SUM(OFFSET(H155,0,-1))),IF(H$5=0,OFFSET(InvInfo,$B149+30,0),SUM(OFFSET(H155,0,-1)))-OFFSET(H151,-2,0)+OFFSET(H155,-1,0)+H157)+IF(OFFSET(InvInfo,$B149+30,3)=1,OFFSET($E$963,$B149-1,H$8)-OFFSET($E$963,$B149-1,H$8-1),0)+IF(AND(OFFSET(InvInfo,$B149+30,4)=1,H$5=OFFSET(InvInfo,$B149+30,5)),$C156,0)+H$1188</f>
        <v>0</v>
      </c>
      <c r="I155" s="965">
        <f t="shared" ca="1" si="39"/>
        <v>0</v>
      </c>
      <c r="J155" s="965">
        <f t="shared" ca="1" si="39"/>
        <v>0</v>
      </c>
      <c r="K155" s="965">
        <f t="shared" ca="1" si="39"/>
        <v>0</v>
      </c>
      <c r="L155" s="965">
        <f t="shared" ca="1" si="39"/>
        <v>0</v>
      </c>
      <c r="M155" s="965">
        <f t="shared" ca="1" si="39"/>
        <v>0</v>
      </c>
      <c r="N155" s="965">
        <f t="shared" ca="1" si="39"/>
        <v>0</v>
      </c>
      <c r="O155" s="965">
        <f t="shared" ca="1" si="39"/>
        <v>0</v>
      </c>
      <c r="P155" s="965">
        <f t="shared" ca="1" si="39"/>
        <v>0</v>
      </c>
      <c r="Q155" s="963">
        <f t="shared" ca="1" si="39"/>
        <v>0</v>
      </c>
      <c r="R155" s="321" t="str">
        <f>IF(MID(S155,7,1)="D","  ","")</f>
        <v/>
      </c>
      <c r="S155" s="319" t="s">
        <v>229</v>
      </c>
    </row>
    <row r="156" spans="1:19" ht="11.25" hidden="1" customHeight="1" x14ac:dyDescent="0.35">
      <c r="A156" s="357" t="s">
        <v>334</v>
      </c>
      <c r="B156" s="376">
        <v>0</v>
      </c>
      <c r="C156" s="375">
        <f>C152</f>
        <v>0</v>
      </c>
      <c r="D156" s="1189">
        <v>1</v>
      </c>
      <c r="E156" s="1181" t="s">
        <v>335</v>
      </c>
      <c r="F156" s="370"/>
      <c r="G156" s="371"/>
      <c r="H156" s="371"/>
      <c r="I156" s="371"/>
      <c r="J156" s="371"/>
      <c r="K156" s="371"/>
      <c r="L156" s="371"/>
      <c r="M156" s="371"/>
      <c r="N156" s="371"/>
      <c r="O156" s="371"/>
      <c r="P156" s="371"/>
      <c r="Q156" s="368">
        <f ca="1">OFFSET(Q155,-6,0)</f>
        <v>0</v>
      </c>
      <c r="R156" s="321"/>
      <c r="S156" s="319" t="s">
        <v>232</v>
      </c>
    </row>
    <row r="157" spans="1:19" ht="11.25" hidden="1" customHeight="1" x14ac:dyDescent="0.35">
      <c r="A157" s="357" t="s">
        <v>336</v>
      </c>
      <c r="B157" s="376">
        <v>1</v>
      </c>
      <c r="C157" s="369" t="str">
        <f>""&amp;C153</f>
        <v/>
      </c>
      <c r="D157" s="1189">
        <v>1</v>
      </c>
      <c r="E157" s="1183" t="s">
        <v>337</v>
      </c>
      <c r="F157" s="370"/>
      <c r="G157" s="371"/>
      <c r="H157" s="371"/>
      <c r="I157" s="371"/>
      <c r="J157" s="371"/>
      <c r="K157" s="371"/>
      <c r="L157" s="371"/>
      <c r="M157" s="371"/>
      <c r="N157" s="371"/>
      <c r="O157" s="371"/>
      <c r="P157" s="371"/>
      <c r="Q157" s="371">
        <f ca="1">IF(NOT(ISBLANK(OFFSET(Q155,-6,0))),OFFSET(Q155,-6,0)-OFFSET(Q155,0,-1),0)</f>
        <v>0</v>
      </c>
      <c r="R157" s="321"/>
      <c r="S157" s="319" t="s">
        <v>232</v>
      </c>
    </row>
    <row r="158" spans="1:19" ht="11.25" hidden="1" customHeight="1" x14ac:dyDescent="0.35">
      <c r="A158" s="353">
        <v>0</v>
      </c>
      <c r="B158" s="354"/>
      <c r="C158" s="355"/>
      <c r="D158" s="1184"/>
      <c r="E158" s="1180" t="s">
        <v>338</v>
      </c>
      <c r="F158" s="317"/>
      <c r="G158" s="356"/>
      <c r="H158" s="356"/>
      <c r="I158" s="356"/>
      <c r="J158" s="356"/>
      <c r="K158" s="356"/>
      <c r="L158" s="356"/>
      <c r="M158" s="356"/>
      <c r="N158" s="356"/>
      <c r="O158" s="356"/>
      <c r="P158" s="356"/>
      <c r="Q158" s="356"/>
      <c r="R158" s="321"/>
      <c r="S158" s="319" t="s">
        <v>145</v>
      </c>
    </row>
    <row r="159" spans="1:19" ht="11.25" hidden="1" customHeight="1" x14ac:dyDescent="0.35">
      <c r="A159" s="357" t="s">
        <v>339</v>
      </c>
      <c r="B159" s="358">
        <v>15</v>
      </c>
      <c r="C159" s="359"/>
      <c r="D159" s="1185"/>
      <c r="E159" s="380" t="s">
        <v>340</v>
      </c>
      <c r="F159" s="959"/>
      <c r="G159" s="960"/>
      <c r="H159" s="960"/>
      <c r="I159" s="960"/>
      <c r="J159" s="960"/>
      <c r="K159" s="960"/>
      <c r="L159" s="960"/>
      <c r="M159" s="960"/>
      <c r="N159" s="960"/>
      <c r="O159" s="960"/>
      <c r="P159" s="960"/>
      <c r="Q159" s="957">
        <f ca="1">OFFSET(Q159,2,-1)</f>
        <v>0</v>
      </c>
      <c r="R159" s="321" t="str">
        <f>IF(MID(S159,7,1)="D","  ","")</f>
        <v/>
      </c>
      <c r="S159" s="319" t="s">
        <v>145</v>
      </c>
    </row>
    <row r="160" spans="1:19" ht="11.25" hidden="1" customHeight="1" x14ac:dyDescent="0.35">
      <c r="A160" s="357" t="s">
        <v>341</v>
      </c>
      <c r="B160" s="360" t="s">
        <v>77</v>
      </c>
      <c r="C160" s="361" t="str">
        <f ca="1">SpecsTxt!$G$12&amp;" "&amp;B160</f>
        <v>Depreciation (straight line)</v>
      </c>
      <c r="D160" s="1186"/>
      <c r="E160" s="385" t="s">
        <v>342</v>
      </c>
      <c r="F160" s="961"/>
      <c r="G160" s="962"/>
      <c r="H160" s="962"/>
      <c r="I160" s="962"/>
      <c r="J160" s="962"/>
      <c r="K160" s="962"/>
      <c r="L160" s="962"/>
      <c r="M160" s="962"/>
      <c r="N160" s="962"/>
      <c r="O160" s="962"/>
      <c r="P160" s="962"/>
      <c r="Q160" s="407"/>
      <c r="R160" s="321" t="str">
        <f>IF(MID(S160,7,1)="D","  ","")</f>
        <v/>
      </c>
      <c r="S160" s="319" t="s">
        <v>145</v>
      </c>
    </row>
    <row r="161" spans="1:19" ht="11.25" hidden="1" customHeight="1" x14ac:dyDescent="0.35">
      <c r="A161" s="357" t="s">
        <v>343</v>
      </c>
      <c r="B161" s="363">
        <v>1</v>
      </c>
      <c r="C161" s="364" t="s">
        <v>80</v>
      </c>
      <c r="D161" s="1187"/>
      <c r="E161" s="385" t="s">
        <v>344</v>
      </c>
      <c r="F161" s="961"/>
      <c r="G161" s="962">
        <f ca="1">IF(OR(AND(G$5=0,NoZeroCol=1),AND(G$5=-99,NoResCol=1)),IF(G$5=0,OFFSET(InvInfo,$B159,0),SUM(OFFSET(G161,0,-1))),IF(G$5=0,OFFSET(InvInfo,$B159,0),SUM(OFFSET(G161,0,-1)))-OFFSET(G161,-2,0)+OFFSET(G161,-1,0)+G163)+IF(OFFSET(InvInfo,$B159,3)=1,OFFSET($E$933,$B159-1,G$8)-OFFSET($E$933,$B159-1,G$8-1),0)+IF(AND(OFFSET(InvInfo,$B159,4)=1,G$5=OFFSET(InvInfo,$B159,5)),$C162,0)+G$1189</f>
        <v>0</v>
      </c>
      <c r="H161" s="962">
        <f t="shared" ref="H161:Q161" ca="1" si="40">IF(OR(AND(H$5=0,NoZeroCol=1),AND(H$5=-99,NoResCol=1)),IF(H$5=0,OFFSET(InvInfo,$B159,0),SUM(OFFSET(H161,0,-1))),IF(H$5=0,OFFSET(InvInfo,$B159,0),SUM(OFFSET(H161,0,-1)))-OFFSET(H161,-2,0)+OFFSET(H161,-1,0)+H163)+IF(OFFSET(InvInfo,$B159,3)=1,OFFSET($E$933,$B159-1,H$8)-OFFSET($E$933,$B159-1,H$8-1),0)+IF(AND(OFFSET(InvInfo,$B159,4)=1,H$5=OFFSET(InvInfo,$B159,5)),$C162,0)+H$1189</f>
        <v>0</v>
      </c>
      <c r="I161" s="962">
        <f t="shared" ca="1" si="40"/>
        <v>0</v>
      </c>
      <c r="J161" s="962">
        <f t="shared" ca="1" si="40"/>
        <v>0</v>
      </c>
      <c r="K161" s="962">
        <f t="shared" ca="1" si="40"/>
        <v>0</v>
      </c>
      <c r="L161" s="962">
        <f t="shared" ca="1" si="40"/>
        <v>0</v>
      </c>
      <c r="M161" s="962">
        <f t="shared" ca="1" si="40"/>
        <v>0</v>
      </c>
      <c r="N161" s="962">
        <f t="shared" ca="1" si="40"/>
        <v>0</v>
      </c>
      <c r="O161" s="962">
        <f t="shared" ca="1" si="40"/>
        <v>0</v>
      </c>
      <c r="P161" s="962">
        <f t="shared" ca="1" si="40"/>
        <v>0</v>
      </c>
      <c r="Q161" s="407">
        <f t="shared" ca="1" si="40"/>
        <v>0</v>
      </c>
      <c r="R161" s="321" t="str">
        <f>IF(MID(S161,7,1)="D","  ","")</f>
        <v/>
      </c>
      <c r="S161" s="319" t="s">
        <v>229</v>
      </c>
    </row>
    <row r="162" spans="1:19" ht="11.25" hidden="1" customHeight="1" x14ac:dyDescent="0.35">
      <c r="A162" s="357" t="s">
        <v>345</v>
      </c>
      <c r="B162" s="365">
        <v>1</v>
      </c>
      <c r="C162" s="366">
        <v>0</v>
      </c>
      <c r="D162" s="1188">
        <v>1</v>
      </c>
      <c r="E162" s="1181" t="s">
        <v>346</v>
      </c>
      <c r="F162" s="367"/>
      <c r="G162" s="368"/>
      <c r="H162" s="368"/>
      <c r="I162" s="368"/>
      <c r="J162" s="368"/>
      <c r="K162" s="368"/>
      <c r="L162" s="368"/>
      <c r="M162" s="368"/>
      <c r="N162" s="368"/>
      <c r="O162" s="368"/>
      <c r="P162" s="368"/>
      <c r="Q162" s="368">
        <f ca="1">OFFSET(Q161,-2,0)</f>
        <v>0</v>
      </c>
      <c r="R162" s="321"/>
      <c r="S162" s="319" t="s">
        <v>232</v>
      </c>
    </row>
    <row r="163" spans="1:19" ht="11.25" hidden="1" customHeight="1" x14ac:dyDescent="0.35">
      <c r="A163" s="357" t="s">
        <v>347</v>
      </c>
      <c r="B163" s="360">
        <v>1</v>
      </c>
      <c r="C163" s="369"/>
      <c r="D163" s="1189">
        <v>1</v>
      </c>
      <c r="E163" s="1182" t="s">
        <v>348</v>
      </c>
      <c r="F163" s="370"/>
      <c r="G163" s="371"/>
      <c r="H163" s="371"/>
      <c r="I163" s="371"/>
      <c r="J163" s="371"/>
      <c r="K163" s="371"/>
      <c r="L163" s="371"/>
      <c r="M163" s="371"/>
      <c r="N163" s="371"/>
      <c r="O163" s="371"/>
      <c r="P163" s="371"/>
      <c r="Q163" s="371">
        <f ca="1">IF(NOT(ISBLANK(OFFSET(Q161,-2,0))),OFFSET(Q161,-2,0)-OFFSET(Q161,0,-1),0)</f>
        <v>0</v>
      </c>
      <c r="R163" s="321"/>
      <c r="S163" s="319" t="s">
        <v>232</v>
      </c>
    </row>
    <row r="164" spans="1:19" ht="11.25" hidden="1" customHeight="1" x14ac:dyDescent="0.35">
      <c r="A164" s="357" t="s">
        <v>349</v>
      </c>
      <c r="B164" s="360" t="s">
        <v>77</v>
      </c>
      <c r="C164" s="372" t="str">
        <f>$C$16&amp;" "&amp;B164</f>
        <v>Imputed depreciation (straight line)</v>
      </c>
      <c r="D164" s="1186"/>
      <c r="E164" s="385" t="s">
        <v>350</v>
      </c>
      <c r="F164" s="961"/>
      <c r="G164" s="962"/>
      <c r="H164" s="962"/>
      <c r="I164" s="962"/>
      <c r="J164" s="962"/>
      <c r="K164" s="962"/>
      <c r="L164" s="962"/>
      <c r="M164" s="962"/>
      <c r="N164" s="962"/>
      <c r="O164" s="962"/>
      <c r="P164" s="962"/>
      <c r="Q164" s="407"/>
      <c r="R164" s="321" t="str">
        <f>IF(MID(S164,7,1)="D","  ","")</f>
        <v/>
      </c>
      <c r="S164" s="319" t="s">
        <v>145</v>
      </c>
    </row>
    <row r="165" spans="1:19" ht="11.25" hidden="1" customHeight="1" x14ac:dyDescent="0.35">
      <c r="A165" s="357" t="s">
        <v>351</v>
      </c>
      <c r="B165" s="363">
        <v>1</v>
      </c>
      <c r="C165" s="373" t="s">
        <v>90</v>
      </c>
      <c r="D165" s="1190"/>
      <c r="E165" s="385" t="s">
        <v>352</v>
      </c>
      <c r="F165" s="964"/>
      <c r="G165" s="965">
        <f ca="1">IF(OR(AND(G$5=0,NoZeroCol=1),AND(G$5=-99,NoResCol=1)),IF(G$5=0,OFFSET(InvInfo,$B159+30,0),SUM(OFFSET(G165,0,-1))),IF(G$5=0,OFFSET(InvInfo,$B159+30,0),SUM(OFFSET(G165,0,-1)))-OFFSET(G161,-2,0)+OFFSET(G165,-1,0)+G167)+IF(OFFSET(InvInfo,$B159+30,3)=1,OFFSET($E$963,$B159-1,G$8)-OFFSET($E$963,$B159-1,G$8-1),0)+IF(AND(OFFSET(InvInfo,$B159+30,4)=1,G$5=OFFSET(InvInfo,$B159+30,5)),$C166,0)+G$1189</f>
        <v>0</v>
      </c>
      <c r="H165" s="965">
        <f t="shared" ref="H165:Q165" ca="1" si="41">IF(OR(AND(H$5=0,NoZeroCol=1),AND(H$5=-99,NoResCol=1)),IF(H$5=0,OFFSET(InvInfo,$B159+30,0),SUM(OFFSET(H165,0,-1))),IF(H$5=0,OFFSET(InvInfo,$B159+30,0),SUM(OFFSET(H165,0,-1)))-OFFSET(H161,-2,0)+OFFSET(H165,-1,0)+H167)+IF(OFFSET(InvInfo,$B159+30,3)=1,OFFSET($E$963,$B159-1,H$8)-OFFSET($E$963,$B159-1,H$8-1),0)+IF(AND(OFFSET(InvInfo,$B159+30,4)=1,H$5=OFFSET(InvInfo,$B159+30,5)),$C166,0)+H$1189</f>
        <v>0</v>
      </c>
      <c r="I165" s="965">
        <f t="shared" ca="1" si="41"/>
        <v>0</v>
      </c>
      <c r="J165" s="965">
        <f t="shared" ca="1" si="41"/>
        <v>0</v>
      </c>
      <c r="K165" s="965">
        <f t="shared" ca="1" si="41"/>
        <v>0</v>
      </c>
      <c r="L165" s="965">
        <f t="shared" ca="1" si="41"/>
        <v>0</v>
      </c>
      <c r="M165" s="965">
        <f t="shared" ca="1" si="41"/>
        <v>0</v>
      </c>
      <c r="N165" s="965">
        <f t="shared" ca="1" si="41"/>
        <v>0</v>
      </c>
      <c r="O165" s="965">
        <f t="shared" ca="1" si="41"/>
        <v>0</v>
      </c>
      <c r="P165" s="965">
        <f t="shared" ca="1" si="41"/>
        <v>0</v>
      </c>
      <c r="Q165" s="963">
        <f t="shared" ca="1" si="41"/>
        <v>0</v>
      </c>
      <c r="R165" s="321" t="str">
        <f>IF(MID(S165,7,1)="D","  ","")</f>
        <v/>
      </c>
      <c r="S165" s="319" t="s">
        <v>229</v>
      </c>
    </row>
    <row r="166" spans="1:19" ht="11.25" hidden="1" customHeight="1" x14ac:dyDescent="0.35">
      <c r="A166" s="357" t="s">
        <v>353</v>
      </c>
      <c r="B166" s="376">
        <v>0</v>
      </c>
      <c r="C166" s="375">
        <f>C162</f>
        <v>0</v>
      </c>
      <c r="D166" s="1189">
        <v>1</v>
      </c>
      <c r="E166" s="1181" t="s">
        <v>354</v>
      </c>
      <c r="F166" s="370"/>
      <c r="G166" s="371"/>
      <c r="H166" s="371"/>
      <c r="I166" s="371"/>
      <c r="J166" s="371"/>
      <c r="K166" s="371"/>
      <c r="L166" s="371"/>
      <c r="M166" s="371"/>
      <c r="N166" s="371"/>
      <c r="O166" s="371"/>
      <c r="P166" s="371"/>
      <c r="Q166" s="368">
        <f ca="1">OFFSET(Q165,-6,0)</f>
        <v>0</v>
      </c>
      <c r="R166" s="321"/>
      <c r="S166" s="319" t="s">
        <v>232</v>
      </c>
    </row>
    <row r="167" spans="1:19" ht="11.25" hidden="1" customHeight="1" x14ac:dyDescent="0.35">
      <c r="A167" s="357" t="s">
        <v>355</v>
      </c>
      <c r="B167" s="376">
        <v>1</v>
      </c>
      <c r="C167" s="369" t="str">
        <f>""&amp;C163</f>
        <v/>
      </c>
      <c r="D167" s="1189">
        <v>1</v>
      </c>
      <c r="E167" s="1183" t="s">
        <v>356</v>
      </c>
      <c r="F167" s="370"/>
      <c r="G167" s="371"/>
      <c r="H167" s="371"/>
      <c r="I167" s="371"/>
      <c r="J167" s="371"/>
      <c r="K167" s="371"/>
      <c r="L167" s="371"/>
      <c r="M167" s="371"/>
      <c r="N167" s="371"/>
      <c r="O167" s="371"/>
      <c r="P167" s="371"/>
      <c r="Q167" s="371">
        <f ca="1">IF(NOT(ISBLANK(OFFSET(Q165,-6,0))),OFFSET(Q165,-6,0)-OFFSET(Q165,0,-1),0)</f>
        <v>0</v>
      </c>
      <c r="R167" s="321"/>
      <c r="S167" s="319" t="s">
        <v>232</v>
      </c>
    </row>
    <row r="168" spans="1:19" ht="11.25" hidden="1" customHeight="1" x14ac:dyDescent="0.35">
      <c r="A168" s="353">
        <v>0</v>
      </c>
      <c r="B168" s="354"/>
      <c r="C168" s="355"/>
      <c r="D168" s="1184"/>
      <c r="E168" s="1180" t="s">
        <v>357</v>
      </c>
      <c r="F168" s="317"/>
      <c r="G168" s="356"/>
      <c r="H168" s="356"/>
      <c r="I168" s="356"/>
      <c r="J168" s="356"/>
      <c r="K168" s="356"/>
      <c r="L168" s="356"/>
      <c r="M168" s="356"/>
      <c r="N168" s="356"/>
      <c r="O168" s="356"/>
      <c r="P168" s="356"/>
      <c r="Q168" s="356"/>
      <c r="R168" s="321"/>
      <c r="S168" s="319" t="s">
        <v>145</v>
      </c>
    </row>
    <row r="169" spans="1:19" ht="11.25" hidden="1" customHeight="1" x14ac:dyDescent="0.35">
      <c r="A169" s="357" t="s">
        <v>358</v>
      </c>
      <c r="B169" s="358">
        <v>16</v>
      </c>
      <c r="C169" s="359"/>
      <c r="D169" s="1185"/>
      <c r="E169" s="380" t="s">
        <v>359</v>
      </c>
      <c r="F169" s="959"/>
      <c r="G169" s="960"/>
      <c r="H169" s="960"/>
      <c r="I169" s="960"/>
      <c r="J169" s="960"/>
      <c r="K169" s="960"/>
      <c r="L169" s="960"/>
      <c r="M169" s="960"/>
      <c r="N169" s="960"/>
      <c r="O169" s="960"/>
      <c r="P169" s="960"/>
      <c r="Q169" s="957">
        <f ca="1">OFFSET(Q169,2,-1)</f>
        <v>0</v>
      </c>
      <c r="R169" s="321" t="str">
        <f>IF(MID(S169,7,1)="D","  ","")</f>
        <v/>
      </c>
      <c r="S169" s="319" t="s">
        <v>145</v>
      </c>
    </row>
    <row r="170" spans="1:19" ht="11.25" hidden="1" customHeight="1" x14ac:dyDescent="0.35">
      <c r="A170" s="357" t="s">
        <v>360</v>
      </c>
      <c r="B170" s="360" t="s">
        <v>77</v>
      </c>
      <c r="C170" s="361" t="str">
        <f ca="1">SpecsTxt!$G$12&amp;" "&amp;B170</f>
        <v>Depreciation (straight line)</v>
      </c>
      <c r="D170" s="1186"/>
      <c r="E170" s="385" t="s">
        <v>361</v>
      </c>
      <c r="F170" s="961"/>
      <c r="G170" s="962"/>
      <c r="H170" s="962"/>
      <c r="I170" s="962"/>
      <c r="J170" s="962"/>
      <c r="K170" s="962"/>
      <c r="L170" s="962"/>
      <c r="M170" s="962"/>
      <c r="N170" s="962"/>
      <c r="O170" s="962"/>
      <c r="P170" s="962"/>
      <c r="Q170" s="407"/>
      <c r="R170" s="321" t="str">
        <f>IF(MID(S170,7,1)="D","  ","")</f>
        <v/>
      </c>
      <c r="S170" s="319" t="s">
        <v>145</v>
      </c>
    </row>
    <row r="171" spans="1:19" ht="11.25" hidden="1" customHeight="1" x14ac:dyDescent="0.35">
      <c r="A171" s="357" t="s">
        <v>362</v>
      </c>
      <c r="B171" s="363">
        <v>1</v>
      </c>
      <c r="C171" s="364" t="s">
        <v>80</v>
      </c>
      <c r="D171" s="1187"/>
      <c r="E171" s="385" t="s">
        <v>363</v>
      </c>
      <c r="F171" s="961"/>
      <c r="G171" s="962">
        <f ca="1">IF(OR(AND(G$5=0,NoZeroCol=1),AND(G$5=-99,NoResCol=1)),IF(G$5=0,OFFSET(InvInfo,$B169,0),SUM(OFFSET(G171,0,-1))),IF(G$5=0,OFFSET(InvInfo,$B169,0),SUM(OFFSET(G171,0,-1)))-OFFSET(G171,-2,0)+OFFSET(G171,-1,0)+G173)+IF(OFFSET(InvInfo,$B169,3)=1,OFFSET($E$933,$B169-1,G$8)-OFFSET($E$933,$B169-1,G$8-1),0)+IF(AND(OFFSET(InvInfo,$B169,4)=1,G$5=OFFSET(InvInfo,$B169,5)),$C172,0)+G$1190</f>
        <v>0</v>
      </c>
      <c r="H171" s="962">
        <f t="shared" ref="H171:Q171" ca="1" si="42">IF(OR(AND(H$5=0,NoZeroCol=1),AND(H$5=-99,NoResCol=1)),IF(H$5=0,OFFSET(InvInfo,$B169,0),SUM(OFFSET(H171,0,-1))),IF(H$5=0,OFFSET(InvInfo,$B169,0),SUM(OFFSET(H171,0,-1)))-OFFSET(H171,-2,0)+OFFSET(H171,-1,0)+H173)+IF(OFFSET(InvInfo,$B169,3)=1,OFFSET($E$933,$B169-1,H$8)-OFFSET($E$933,$B169-1,H$8-1),0)+IF(AND(OFFSET(InvInfo,$B169,4)=1,H$5=OFFSET(InvInfo,$B169,5)),$C172,0)+H$1190</f>
        <v>0</v>
      </c>
      <c r="I171" s="962">
        <f t="shared" ca="1" si="42"/>
        <v>0</v>
      </c>
      <c r="J171" s="962">
        <f t="shared" ca="1" si="42"/>
        <v>0</v>
      </c>
      <c r="K171" s="962">
        <f t="shared" ca="1" si="42"/>
        <v>0</v>
      </c>
      <c r="L171" s="962">
        <f t="shared" ca="1" si="42"/>
        <v>0</v>
      </c>
      <c r="M171" s="962">
        <f t="shared" ca="1" si="42"/>
        <v>0</v>
      </c>
      <c r="N171" s="962">
        <f t="shared" ca="1" si="42"/>
        <v>0</v>
      </c>
      <c r="O171" s="962">
        <f t="shared" ca="1" si="42"/>
        <v>0</v>
      </c>
      <c r="P171" s="962">
        <f t="shared" ca="1" si="42"/>
        <v>0</v>
      </c>
      <c r="Q171" s="407">
        <f t="shared" ca="1" si="42"/>
        <v>0</v>
      </c>
      <c r="R171" s="321" t="str">
        <f>IF(MID(S171,7,1)="D","  ","")</f>
        <v/>
      </c>
      <c r="S171" s="319" t="s">
        <v>229</v>
      </c>
    </row>
    <row r="172" spans="1:19" ht="11.25" hidden="1" customHeight="1" x14ac:dyDescent="0.35">
      <c r="A172" s="357" t="s">
        <v>364</v>
      </c>
      <c r="B172" s="365">
        <v>1</v>
      </c>
      <c r="C172" s="366">
        <v>0</v>
      </c>
      <c r="D172" s="1188">
        <v>1</v>
      </c>
      <c r="E172" s="1181" t="s">
        <v>365</v>
      </c>
      <c r="F172" s="367"/>
      <c r="G172" s="368"/>
      <c r="H172" s="368"/>
      <c r="I172" s="368"/>
      <c r="J172" s="368"/>
      <c r="K172" s="368"/>
      <c r="L172" s="368"/>
      <c r="M172" s="368"/>
      <c r="N172" s="368"/>
      <c r="O172" s="368"/>
      <c r="P172" s="368"/>
      <c r="Q172" s="368">
        <f ca="1">OFFSET(Q171,-2,0)</f>
        <v>0</v>
      </c>
      <c r="R172" s="321"/>
      <c r="S172" s="319" t="s">
        <v>232</v>
      </c>
    </row>
    <row r="173" spans="1:19" ht="11.25" hidden="1" customHeight="1" x14ac:dyDescent="0.35">
      <c r="A173" s="357" t="s">
        <v>366</v>
      </c>
      <c r="B173" s="360">
        <v>1</v>
      </c>
      <c r="C173" s="369"/>
      <c r="D173" s="1189">
        <v>1</v>
      </c>
      <c r="E173" s="1182" t="s">
        <v>367</v>
      </c>
      <c r="F173" s="370"/>
      <c r="G173" s="371"/>
      <c r="H173" s="371"/>
      <c r="I173" s="371"/>
      <c r="J173" s="371"/>
      <c r="K173" s="371"/>
      <c r="L173" s="371"/>
      <c r="M173" s="371"/>
      <c r="N173" s="371"/>
      <c r="O173" s="371"/>
      <c r="P173" s="371"/>
      <c r="Q173" s="371">
        <f ca="1">IF(NOT(ISBLANK(OFFSET(Q171,-2,0))),OFFSET(Q171,-2,0)-OFFSET(Q171,0,-1),0)</f>
        <v>0</v>
      </c>
      <c r="R173" s="321"/>
      <c r="S173" s="319" t="s">
        <v>232</v>
      </c>
    </row>
    <row r="174" spans="1:19" ht="11.25" hidden="1" customHeight="1" x14ac:dyDescent="0.35">
      <c r="A174" s="357" t="s">
        <v>368</v>
      </c>
      <c r="B174" s="360" t="s">
        <v>77</v>
      </c>
      <c r="C174" s="372" t="str">
        <f>$C$16&amp;" "&amp;B174</f>
        <v>Imputed depreciation (straight line)</v>
      </c>
      <c r="D174" s="1186"/>
      <c r="E174" s="385" t="s">
        <v>369</v>
      </c>
      <c r="F174" s="961"/>
      <c r="G174" s="962"/>
      <c r="H174" s="962"/>
      <c r="I174" s="962"/>
      <c r="J174" s="962"/>
      <c r="K174" s="962"/>
      <c r="L174" s="962"/>
      <c r="M174" s="962"/>
      <c r="N174" s="962"/>
      <c r="O174" s="962"/>
      <c r="P174" s="962"/>
      <c r="Q174" s="407"/>
      <c r="R174" s="321" t="str">
        <f>IF(MID(S174,7,1)="D","  ","")</f>
        <v/>
      </c>
      <c r="S174" s="319" t="s">
        <v>145</v>
      </c>
    </row>
    <row r="175" spans="1:19" ht="11.25" hidden="1" customHeight="1" x14ac:dyDescent="0.35">
      <c r="A175" s="357" t="s">
        <v>370</v>
      </c>
      <c r="B175" s="363">
        <v>1</v>
      </c>
      <c r="C175" s="373" t="s">
        <v>90</v>
      </c>
      <c r="D175" s="1190"/>
      <c r="E175" s="385" t="s">
        <v>371</v>
      </c>
      <c r="F175" s="964"/>
      <c r="G175" s="965">
        <f ca="1">IF(OR(AND(G$5=0,NoZeroCol=1),AND(G$5=-99,NoResCol=1)),IF(G$5=0,OFFSET(InvInfo,$B169+30,0),SUM(OFFSET(G175,0,-1))),IF(G$5=0,OFFSET(InvInfo,$B169+30,0),SUM(OFFSET(G175,0,-1)))-OFFSET(G171,-2,0)+OFFSET(G175,-1,0)+G177)+IF(OFFSET(InvInfo,$B169+30,3)=1,OFFSET($E$963,$B169-1,G$8)-OFFSET($E$963,$B169-1,G$8-1),0)+IF(AND(OFFSET(InvInfo,$B169+30,4)=1,G$5=OFFSET(InvInfo,$B169+30,5)),$C176,0)+G$1190</f>
        <v>0</v>
      </c>
      <c r="H175" s="965">
        <f t="shared" ref="H175:Q175" ca="1" si="43">IF(OR(AND(H$5=0,NoZeroCol=1),AND(H$5=-99,NoResCol=1)),IF(H$5=0,OFFSET(InvInfo,$B169+30,0),SUM(OFFSET(H175,0,-1))),IF(H$5=0,OFFSET(InvInfo,$B169+30,0),SUM(OFFSET(H175,0,-1)))-OFFSET(H171,-2,0)+OFFSET(H175,-1,0)+H177)+IF(OFFSET(InvInfo,$B169+30,3)=1,OFFSET($E$963,$B169-1,H$8)-OFFSET($E$963,$B169-1,H$8-1),0)+IF(AND(OFFSET(InvInfo,$B169+30,4)=1,H$5=OFFSET(InvInfo,$B169+30,5)),$C176,0)+H$1190</f>
        <v>0</v>
      </c>
      <c r="I175" s="965">
        <f t="shared" ca="1" si="43"/>
        <v>0</v>
      </c>
      <c r="J175" s="965">
        <f t="shared" ca="1" si="43"/>
        <v>0</v>
      </c>
      <c r="K175" s="965">
        <f t="shared" ca="1" si="43"/>
        <v>0</v>
      </c>
      <c r="L175" s="965">
        <f t="shared" ca="1" si="43"/>
        <v>0</v>
      </c>
      <c r="M175" s="965">
        <f t="shared" ca="1" si="43"/>
        <v>0</v>
      </c>
      <c r="N175" s="965">
        <f t="shared" ca="1" si="43"/>
        <v>0</v>
      </c>
      <c r="O175" s="965">
        <f t="shared" ca="1" si="43"/>
        <v>0</v>
      </c>
      <c r="P175" s="965">
        <f t="shared" ca="1" si="43"/>
        <v>0</v>
      </c>
      <c r="Q175" s="963">
        <f t="shared" ca="1" si="43"/>
        <v>0</v>
      </c>
      <c r="R175" s="321" t="str">
        <f>IF(MID(S175,7,1)="D","  ","")</f>
        <v/>
      </c>
      <c r="S175" s="319" t="s">
        <v>229</v>
      </c>
    </row>
    <row r="176" spans="1:19" ht="11.25" hidden="1" customHeight="1" x14ac:dyDescent="0.35">
      <c r="A176" s="357" t="s">
        <v>372</v>
      </c>
      <c r="B176" s="376">
        <v>0</v>
      </c>
      <c r="C176" s="375">
        <f>C172</f>
        <v>0</v>
      </c>
      <c r="D176" s="1189">
        <v>1</v>
      </c>
      <c r="E176" s="1181" t="s">
        <v>373</v>
      </c>
      <c r="F176" s="370"/>
      <c r="G176" s="371"/>
      <c r="H176" s="371"/>
      <c r="I176" s="371"/>
      <c r="J176" s="371"/>
      <c r="K176" s="371"/>
      <c r="L176" s="371"/>
      <c r="M176" s="371"/>
      <c r="N176" s="371"/>
      <c r="O176" s="371"/>
      <c r="P176" s="371"/>
      <c r="Q176" s="368">
        <f ca="1">OFFSET(Q175,-6,0)</f>
        <v>0</v>
      </c>
      <c r="R176" s="321"/>
      <c r="S176" s="319" t="s">
        <v>232</v>
      </c>
    </row>
    <row r="177" spans="1:19" ht="11.25" hidden="1" customHeight="1" x14ac:dyDescent="0.35">
      <c r="A177" s="357" t="s">
        <v>374</v>
      </c>
      <c r="B177" s="376">
        <v>1</v>
      </c>
      <c r="C177" s="369" t="str">
        <f>""&amp;C173</f>
        <v/>
      </c>
      <c r="D177" s="1189">
        <v>1</v>
      </c>
      <c r="E177" s="1183" t="s">
        <v>375</v>
      </c>
      <c r="F177" s="370"/>
      <c r="G177" s="371"/>
      <c r="H177" s="371"/>
      <c r="I177" s="371"/>
      <c r="J177" s="371"/>
      <c r="K177" s="371"/>
      <c r="L177" s="371"/>
      <c r="M177" s="371"/>
      <c r="N177" s="371"/>
      <c r="O177" s="371"/>
      <c r="P177" s="371"/>
      <c r="Q177" s="371">
        <f ca="1">IF(NOT(ISBLANK(OFFSET(Q175,-6,0))),OFFSET(Q175,-6,0)-OFFSET(Q175,0,-1),0)</f>
        <v>0</v>
      </c>
      <c r="R177" s="321"/>
      <c r="S177" s="319" t="s">
        <v>232</v>
      </c>
    </row>
    <row r="178" spans="1:19" ht="11.25" hidden="1" customHeight="1" x14ac:dyDescent="0.35">
      <c r="A178" s="353">
        <v>0</v>
      </c>
      <c r="B178" s="354"/>
      <c r="C178" s="355"/>
      <c r="D178" s="1184"/>
      <c r="E178" s="1180" t="s">
        <v>376</v>
      </c>
      <c r="F178" s="317"/>
      <c r="G178" s="356"/>
      <c r="H178" s="356"/>
      <c r="I178" s="356"/>
      <c r="J178" s="356"/>
      <c r="K178" s="356"/>
      <c r="L178" s="356"/>
      <c r="M178" s="356"/>
      <c r="N178" s="356"/>
      <c r="O178" s="356"/>
      <c r="P178" s="356"/>
      <c r="Q178" s="356"/>
      <c r="R178" s="321"/>
      <c r="S178" s="319" t="s">
        <v>145</v>
      </c>
    </row>
    <row r="179" spans="1:19" ht="11.25" hidden="1" customHeight="1" x14ac:dyDescent="0.35">
      <c r="A179" s="357" t="s">
        <v>377</v>
      </c>
      <c r="B179" s="358">
        <v>17</v>
      </c>
      <c r="C179" s="359"/>
      <c r="D179" s="1185"/>
      <c r="E179" s="380" t="s">
        <v>378</v>
      </c>
      <c r="F179" s="959"/>
      <c r="G179" s="960"/>
      <c r="H179" s="960"/>
      <c r="I179" s="960"/>
      <c r="J179" s="960"/>
      <c r="K179" s="960"/>
      <c r="L179" s="960"/>
      <c r="M179" s="960"/>
      <c r="N179" s="960"/>
      <c r="O179" s="960"/>
      <c r="P179" s="960"/>
      <c r="Q179" s="957">
        <f ca="1">OFFSET(Q179,2,-1)</f>
        <v>0</v>
      </c>
      <c r="R179" s="321" t="str">
        <f>IF(MID(S179,7,1)="D","  ","")</f>
        <v/>
      </c>
      <c r="S179" s="319" t="s">
        <v>145</v>
      </c>
    </row>
    <row r="180" spans="1:19" ht="11.25" hidden="1" customHeight="1" x14ac:dyDescent="0.35">
      <c r="A180" s="357" t="s">
        <v>379</v>
      </c>
      <c r="B180" s="360" t="s">
        <v>77</v>
      </c>
      <c r="C180" s="361" t="str">
        <f ca="1">SpecsTxt!$G$12&amp;" "&amp;B180</f>
        <v>Depreciation (straight line)</v>
      </c>
      <c r="D180" s="1186"/>
      <c r="E180" s="385" t="s">
        <v>380</v>
      </c>
      <c r="F180" s="961"/>
      <c r="G180" s="962"/>
      <c r="H180" s="962"/>
      <c r="I180" s="962"/>
      <c r="J180" s="962"/>
      <c r="K180" s="962"/>
      <c r="L180" s="962"/>
      <c r="M180" s="962"/>
      <c r="N180" s="962"/>
      <c r="O180" s="962"/>
      <c r="P180" s="962"/>
      <c r="Q180" s="407"/>
      <c r="R180" s="321" t="str">
        <f>IF(MID(S180,7,1)="D","  ","")</f>
        <v/>
      </c>
      <c r="S180" s="319" t="s">
        <v>145</v>
      </c>
    </row>
    <row r="181" spans="1:19" ht="11.25" hidden="1" customHeight="1" x14ac:dyDescent="0.35">
      <c r="A181" s="357" t="s">
        <v>381</v>
      </c>
      <c r="B181" s="363">
        <v>1</v>
      </c>
      <c r="C181" s="364" t="s">
        <v>80</v>
      </c>
      <c r="D181" s="1187"/>
      <c r="E181" s="385" t="s">
        <v>382</v>
      </c>
      <c r="F181" s="961"/>
      <c r="G181" s="962">
        <f ca="1">IF(OR(AND(G$5=0,NoZeroCol=1),AND(G$5=-99,NoResCol=1)),IF(G$5=0,OFFSET(InvInfo,$B179,0),SUM(OFFSET(G181,0,-1))),IF(G$5=0,OFFSET(InvInfo,$B179,0),SUM(OFFSET(G181,0,-1)))-OFFSET(G181,-2,0)+OFFSET(G181,-1,0)+G183)+IF(OFFSET(InvInfo,$B179,3)=1,OFFSET($E$933,$B179-1,G$8)-OFFSET($E$933,$B179-1,G$8-1),0)+IF(AND(OFFSET(InvInfo,$B179,4)=1,G$5=OFFSET(InvInfo,$B179,5)),$C182,0)+G$1191</f>
        <v>0</v>
      </c>
      <c r="H181" s="962">
        <f t="shared" ref="H181:Q181" ca="1" si="44">IF(OR(AND(H$5=0,NoZeroCol=1),AND(H$5=-99,NoResCol=1)),IF(H$5=0,OFFSET(InvInfo,$B179,0),SUM(OFFSET(H181,0,-1))),IF(H$5=0,OFFSET(InvInfo,$B179,0),SUM(OFFSET(H181,0,-1)))-OFFSET(H181,-2,0)+OFFSET(H181,-1,0)+H183)+IF(OFFSET(InvInfo,$B179,3)=1,OFFSET($E$933,$B179-1,H$8)-OFFSET($E$933,$B179-1,H$8-1),0)+IF(AND(OFFSET(InvInfo,$B179,4)=1,H$5=OFFSET(InvInfo,$B179,5)),$C182,0)+H$1191</f>
        <v>0</v>
      </c>
      <c r="I181" s="962">
        <f t="shared" ca="1" si="44"/>
        <v>0</v>
      </c>
      <c r="J181" s="962">
        <f t="shared" ca="1" si="44"/>
        <v>0</v>
      </c>
      <c r="K181" s="962">
        <f t="shared" ca="1" si="44"/>
        <v>0</v>
      </c>
      <c r="L181" s="962">
        <f t="shared" ca="1" si="44"/>
        <v>0</v>
      </c>
      <c r="M181" s="962">
        <f t="shared" ca="1" si="44"/>
        <v>0</v>
      </c>
      <c r="N181" s="962">
        <f t="shared" ca="1" si="44"/>
        <v>0</v>
      </c>
      <c r="O181" s="962">
        <f t="shared" ca="1" si="44"/>
        <v>0</v>
      </c>
      <c r="P181" s="962">
        <f t="shared" ca="1" si="44"/>
        <v>0</v>
      </c>
      <c r="Q181" s="407">
        <f t="shared" ca="1" si="44"/>
        <v>0</v>
      </c>
      <c r="R181" s="321" t="str">
        <f>IF(MID(S181,7,1)="D","  ","")</f>
        <v/>
      </c>
      <c r="S181" s="319" t="s">
        <v>229</v>
      </c>
    </row>
    <row r="182" spans="1:19" ht="11.25" hidden="1" customHeight="1" x14ac:dyDescent="0.35">
      <c r="A182" s="357" t="s">
        <v>383</v>
      </c>
      <c r="B182" s="365">
        <v>1</v>
      </c>
      <c r="C182" s="366">
        <v>0</v>
      </c>
      <c r="D182" s="1188">
        <v>1</v>
      </c>
      <c r="E182" s="1181" t="s">
        <v>384</v>
      </c>
      <c r="F182" s="367"/>
      <c r="G182" s="368"/>
      <c r="H182" s="368"/>
      <c r="I182" s="368"/>
      <c r="J182" s="368"/>
      <c r="K182" s="368"/>
      <c r="L182" s="368"/>
      <c r="M182" s="368"/>
      <c r="N182" s="368"/>
      <c r="O182" s="368"/>
      <c r="P182" s="368"/>
      <c r="Q182" s="368">
        <f ca="1">OFFSET(Q181,-2,0)</f>
        <v>0</v>
      </c>
      <c r="R182" s="321"/>
      <c r="S182" s="319" t="s">
        <v>232</v>
      </c>
    </row>
    <row r="183" spans="1:19" ht="11.25" hidden="1" customHeight="1" x14ac:dyDescent="0.35">
      <c r="A183" s="357" t="s">
        <v>385</v>
      </c>
      <c r="B183" s="360">
        <v>1</v>
      </c>
      <c r="C183" s="369"/>
      <c r="D183" s="1189">
        <v>1</v>
      </c>
      <c r="E183" s="1182" t="s">
        <v>386</v>
      </c>
      <c r="F183" s="370"/>
      <c r="G183" s="371"/>
      <c r="H183" s="371"/>
      <c r="I183" s="371"/>
      <c r="J183" s="371"/>
      <c r="K183" s="371"/>
      <c r="L183" s="371"/>
      <c r="M183" s="371"/>
      <c r="N183" s="371"/>
      <c r="O183" s="371"/>
      <c r="P183" s="371"/>
      <c r="Q183" s="371">
        <f ca="1">IF(NOT(ISBLANK(OFFSET(Q181,-2,0))),OFFSET(Q181,-2,0)-OFFSET(Q181,0,-1),0)</f>
        <v>0</v>
      </c>
      <c r="R183" s="321"/>
      <c r="S183" s="319" t="s">
        <v>232</v>
      </c>
    </row>
    <row r="184" spans="1:19" ht="11.25" hidden="1" customHeight="1" x14ac:dyDescent="0.35">
      <c r="A184" s="357" t="s">
        <v>387</v>
      </c>
      <c r="B184" s="360" t="s">
        <v>77</v>
      </c>
      <c r="C184" s="372" t="str">
        <f>$C$16&amp;" "&amp;B184</f>
        <v>Imputed depreciation (straight line)</v>
      </c>
      <c r="D184" s="1186"/>
      <c r="E184" s="385" t="s">
        <v>388</v>
      </c>
      <c r="F184" s="961"/>
      <c r="G184" s="962"/>
      <c r="H184" s="962"/>
      <c r="I184" s="962"/>
      <c r="J184" s="962"/>
      <c r="K184" s="962"/>
      <c r="L184" s="962"/>
      <c r="M184" s="962"/>
      <c r="N184" s="962"/>
      <c r="O184" s="962"/>
      <c r="P184" s="962"/>
      <c r="Q184" s="407"/>
      <c r="R184" s="321" t="str">
        <f>IF(MID(S184,7,1)="D","  ","")</f>
        <v/>
      </c>
      <c r="S184" s="319" t="s">
        <v>145</v>
      </c>
    </row>
    <row r="185" spans="1:19" ht="11.25" hidden="1" customHeight="1" x14ac:dyDescent="0.35">
      <c r="A185" s="357" t="s">
        <v>389</v>
      </c>
      <c r="B185" s="363">
        <v>1</v>
      </c>
      <c r="C185" s="373" t="s">
        <v>90</v>
      </c>
      <c r="D185" s="1190"/>
      <c r="E185" s="385" t="s">
        <v>390</v>
      </c>
      <c r="F185" s="964"/>
      <c r="G185" s="965">
        <f ca="1">IF(OR(AND(G$5=0,NoZeroCol=1),AND(G$5=-99,NoResCol=1)),IF(G$5=0,OFFSET(InvInfo,$B179+30,0),SUM(OFFSET(G185,0,-1))),IF(G$5=0,OFFSET(InvInfo,$B179+30,0),SUM(OFFSET(G185,0,-1)))-OFFSET(G181,-2,0)+OFFSET(G185,-1,0)+G187)+IF(OFFSET(InvInfo,$B179+30,3)=1,OFFSET($E$963,$B179-1,G$8)-OFFSET($E$963,$B179-1,G$8-1),0)+IF(AND(OFFSET(InvInfo,$B179+30,4)=1,G$5=OFFSET(InvInfo,$B179+30,5)),$C186,0)+G$1191</f>
        <v>0</v>
      </c>
      <c r="H185" s="965">
        <f t="shared" ref="H185:Q185" ca="1" si="45">IF(OR(AND(H$5=0,NoZeroCol=1),AND(H$5=-99,NoResCol=1)),IF(H$5=0,OFFSET(InvInfo,$B179+30,0),SUM(OFFSET(H185,0,-1))),IF(H$5=0,OFFSET(InvInfo,$B179+30,0),SUM(OFFSET(H185,0,-1)))-OFFSET(H181,-2,0)+OFFSET(H185,-1,0)+H187)+IF(OFFSET(InvInfo,$B179+30,3)=1,OFFSET($E$963,$B179-1,H$8)-OFFSET($E$963,$B179-1,H$8-1),0)+IF(AND(OFFSET(InvInfo,$B179+30,4)=1,H$5=OFFSET(InvInfo,$B179+30,5)),$C186,0)+H$1191</f>
        <v>0</v>
      </c>
      <c r="I185" s="965">
        <f t="shared" ca="1" si="45"/>
        <v>0</v>
      </c>
      <c r="J185" s="965">
        <f t="shared" ca="1" si="45"/>
        <v>0</v>
      </c>
      <c r="K185" s="965">
        <f t="shared" ca="1" si="45"/>
        <v>0</v>
      </c>
      <c r="L185" s="965">
        <f t="shared" ca="1" si="45"/>
        <v>0</v>
      </c>
      <c r="M185" s="965">
        <f t="shared" ca="1" si="45"/>
        <v>0</v>
      </c>
      <c r="N185" s="965">
        <f t="shared" ca="1" si="45"/>
        <v>0</v>
      </c>
      <c r="O185" s="965">
        <f t="shared" ca="1" si="45"/>
        <v>0</v>
      </c>
      <c r="P185" s="965">
        <f t="shared" ca="1" si="45"/>
        <v>0</v>
      </c>
      <c r="Q185" s="963">
        <f t="shared" ca="1" si="45"/>
        <v>0</v>
      </c>
      <c r="R185" s="321" t="str">
        <f>IF(MID(S185,7,1)="D","  ","")</f>
        <v/>
      </c>
      <c r="S185" s="319" t="s">
        <v>229</v>
      </c>
    </row>
    <row r="186" spans="1:19" ht="11.25" hidden="1" customHeight="1" x14ac:dyDescent="0.35">
      <c r="A186" s="357" t="s">
        <v>391</v>
      </c>
      <c r="B186" s="376">
        <v>0</v>
      </c>
      <c r="C186" s="375">
        <f>C182</f>
        <v>0</v>
      </c>
      <c r="D186" s="1189">
        <v>1</v>
      </c>
      <c r="E186" s="1181" t="s">
        <v>392</v>
      </c>
      <c r="F186" s="370"/>
      <c r="G186" s="371"/>
      <c r="H186" s="371"/>
      <c r="I186" s="371"/>
      <c r="J186" s="371"/>
      <c r="K186" s="371"/>
      <c r="L186" s="371"/>
      <c r="M186" s="371"/>
      <c r="N186" s="371"/>
      <c r="O186" s="371"/>
      <c r="P186" s="371"/>
      <c r="Q186" s="368">
        <f ca="1">OFFSET(Q185,-6,0)</f>
        <v>0</v>
      </c>
      <c r="R186" s="321"/>
      <c r="S186" s="319" t="s">
        <v>232</v>
      </c>
    </row>
    <row r="187" spans="1:19" ht="11.25" hidden="1" customHeight="1" x14ac:dyDescent="0.35">
      <c r="A187" s="357" t="s">
        <v>393</v>
      </c>
      <c r="B187" s="376">
        <v>1</v>
      </c>
      <c r="C187" s="369" t="str">
        <f>""&amp;C183</f>
        <v/>
      </c>
      <c r="D187" s="1189">
        <v>1</v>
      </c>
      <c r="E187" s="1183" t="s">
        <v>394</v>
      </c>
      <c r="F187" s="370"/>
      <c r="G187" s="371"/>
      <c r="H187" s="371"/>
      <c r="I187" s="371"/>
      <c r="J187" s="371"/>
      <c r="K187" s="371"/>
      <c r="L187" s="371"/>
      <c r="M187" s="371"/>
      <c r="N187" s="371"/>
      <c r="O187" s="371"/>
      <c r="P187" s="371"/>
      <c r="Q187" s="371">
        <f ca="1">IF(NOT(ISBLANK(OFFSET(Q185,-6,0))),OFFSET(Q185,-6,0)-OFFSET(Q185,0,-1),0)</f>
        <v>0</v>
      </c>
      <c r="R187" s="321"/>
      <c r="S187" s="319" t="s">
        <v>232</v>
      </c>
    </row>
    <row r="188" spans="1:19" ht="11.25" hidden="1" customHeight="1" x14ac:dyDescent="0.35">
      <c r="A188" s="353">
        <v>0</v>
      </c>
      <c r="B188" s="354"/>
      <c r="C188" s="355"/>
      <c r="D188" s="1184"/>
      <c r="E188" s="1180" t="s">
        <v>395</v>
      </c>
      <c r="F188" s="317"/>
      <c r="G188" s="356"/>
      <c r="H188" s="356"/>
      <c r="I188" s="356"/>
      <c r="J188" s="356"/>
      <c r="K188" s="356"/>
      <c r="L188" s="356"/>
      <c r="M188" s="356"/>
      <c r="N188" s="356"/>
      <c r="O188" s="356"/>
      <c r="P188" s="356"/>
      <c r="Q188" s="356"/>
      <c r="R188" s="321"/>
      <c r="S188" s="319" t="s">
        <v>145</v>
      </c>
    </row>
    <row r="189" spans="1:19" ht="11.25" hidden="1" customHeight="1" x14ac:dyDescent="0.35">
      <c r="A189" s="357" t="s">
        <v>396</v>
      </c>
      <c r="B189" s="358">
        <v>18</v>
      </c>
      <c r="C189" s="359"/>
      <c r="D189" s="1185"/>
      <c r="E189" s="380" t="s">
        <v>397</v>
      </c>
      <c r="F189" s="959"/>
      <c r="G189" s="960"/>
      <c r="H189" s="960"/>
      <c r="I189" s="960"/>
      <c r="J189" s="960"/>
      <c r="K189" s="960"/>
      <c r="L189" s="960"/>
      <c r="M189" s="960"/>
      <c r="N189" s="960"/>
      <c r="O189" s="960"/>
      <c r="P189" s="960"/>
      <c r="Q189" s="957">
        <f ca="1">OFFSET(Q189,2,-1)</f>
        <v>0</v>
      </c>
      <c r="R189" s="321" t="str">
        <f>IF(MID(S189,7,1)="D","  ","")</f>
        <v/>
      </c>
      <c r="S189" s="319" t="s">
        <v>145</v>
      </c>
    </row>
    <row r="190" spans="1:19" ht="11.25" hidden="1" customHeight="1" x14ac:dyDescent="0.35">
      <c r="A190" s="357" t="s">
        <v>398</v>
      </c>
      <c r="B190" s="360" t="s">
        <v>77</v>
      </c>
      <c r="C190" s="361" t="str">
        <f ca="1">SpecsTxt!$G$12&amp;" "&amp;B190</f>
        <v>Depreciation (straight line)</v>
      </c>
      <c r="D190" s="1186"/>
      <c r="E190" s="385" t="s">
        <v>399</v>
      </c>
      <c r="F190" s="961"/>
      <c r="G190" s="962"/>
      <c r="H190" s="962"/>
      <c r="I190" s="962"/>
      <c r="J190" s="962"/>
      <c r="K190" s="962"/>
      <c r="L190" s="962"/>
      <c r="M190" s="962"/>
      <c r="N190" s="962"/>
      <c r="O190" s="962"/>
      <c r="P190" s="962"/>
      <c r="Q190" s="407"/>
      <c r="R190" s="321" t="str">
        <f>IF(MID(S190,7,1)="D","  ","")</f>
        <v/>
      </c>
      <c r="S190" s="319" t="s">
        <v>145</v>
      </c>
    </row>
    <row r="191" spans="1:19" ht="11.25" hidden="1" customHeight="1" x14ac:dyDescent="0.35">
      <c r="A191" s="357" t="s">
        <v>400</v>
      </c>
      <c r="B191" s="363">
        <v>1</v>
      </c>
      <c r="C191" s="364" t="s">
        <v>80</v>
      </c>
      <c r="D191" s="1187"/>
      <c r="E191" s="385" t="s">
        <v>401</v>
      </c>
      <c r="F191" s="961"/>
      <c r="G191" s="962">
        <f ca="1">IF(OR(AND(G$5=0,NoZeroCol=1),AND(G$5=-99,NoResCol=1)),IF(G$5=0,OFFSET(InvInfo,$B189,0),SUM(OFFSET(G191,0,-1))),IF(G$5=0,OFFSET(InvInfo,$B189,0),SUM(OFFSET(G191,0,-1)))-OFFSET(G191,-2,0)+OFFSET(G191,-1,0)+G193)+IF(OFFSET(InvInfo,$B189,3)=1,OFFSET($E$933,$B189-1,G$8)-OFFSET($E$933,$B189-1,G$8-1),0)+IF(AND(OFFSET(InvInfo,$B189,4)=1,G$5=OFFSET(InvInfo,$B189,5)),$C192,0)+G$1192</f>
        <v>0</v>
      </c>
      <c r="H191" s="962">
        <f t="shared" ref="H191:Q191" ca="1" si="46">IF(OR(AND(H$5=0,NoZeroCol=1),AND(H$5=-99,NoResCol=1)),IF(H$5=0,OFFSET(InvInfo,$B189,0),SUM(OFFSET(H191,0,-1))),IF(H$5=0,OFFSET(InvInfo,$B189,0),SUM(OFFSET(H191,0,-1)))-OFFSET(H191,-2,0)+OFFSET(H191,-1,0)+H193)+IF(OFFSET(InvInfo,$B189,3)=1,OFFSET($E$933,$B189-1,H$8)-OFFSET($E$933,$B189-1,H$8-1),0)+IF(AND(OFFSET(InvInfo,$B189,4)=1,H$5=OFFSET(InvInfo,$B189,5)),$C192,0)+H$1192</f>
        <v>0</v>
      </c>
      <c r="I191" s="962">
        <f t="shared" ca="1" si="46"/>
        <v>0</v>
      </c>
      <c r="J191" s="962">
        <f t="shared" ca="1" si="46"/>
        <v>0</v>
      </c>
      <c r="K191" s="962">
        <f t="shared" ca="1" si="46"/>
        <v>0</v>
      </c>
      <c r="L191" s="962">
        <f t="shared" ca="1" si="46"/>
        <v>0</v>
      </c>
      <c r="M191" s="962">
        <f t="shared" ca="1" si="46"/>
        <v>0</v>
      </c>
      <c r="N191" s="962">
        <f t="shared" ca="1" si="46"/>
        <v>0</v>
      </c>
      <c r="O191" s="962">
        <f t="shared" ca="1" si="46"/>
        <v>0</v>
      </c>
      <c r="P191" s="962">
        <f t="shared" ca="1" si="46"/>
        <v>0</v>
      </c>
      <c r="Q191" s="407">
        <f t="shared" ca="1" si="46"/>
        <v>0</v>
      </c>
      <c r="R191" s="321" t="str">
        <f>IF(MID(S191,7,1)="D","  ","")</f>
        <v/>
      </c>
      <c r="S191" s="319" t="s">
        <v>229</v>
      </c>
    </row>
    <row r="192" spans="1:19" ht="11.25" hidden="1" customHeight="1" x14ac:dyDescent="0.35">
      <c r="A192" s="357" t="s">
        <v>402</v>
      </c>
      <c r="B192" s="365">
        <v>1</v>
      </c>
      <c r="C192" s="366">
        <v>0</v>
      </c>
      <c r="D192" s="1188">
        <v>1</v>
      </c>
      <c r="E192" s="1181" t="s">
        <v>403</v>
      </c>
      <c r="F192" s="367"/>
      <c r="G192" s="368"/>
      <c r="H192" s="368"/>
      <c r="I192" s="368"/>
      <c r="J192" s="368"/>
      <c r="K192" s="368"/>
      <c r="L192" s="368"/>
      <c r="M192" s="368"/>
      <c r="N192" s="368"/>
      <c r="O192" s="368"/>
      <c r="P192" s="368"/>
      <c r="Q192" s="368">
        <f ca="1">OFFSET(Q191,-2,0)</f>
        <v>0</v>
      </c>
      <c r="R192" s="321"/>
      <c r="S192" s="319" t="s">
        <v>232</v>
      </c>
    </row>
    <row r="193" spans="1:19" ht="11.25" hidden="1" customHeight="1" x14ac:dyDescent="0.35">
      <c r="A193" s="357" t="s">
        <v>404</v>
      </c>
      <c r="B193" s="360">
        <v>1</v>
      </c>
      <c r="C193" s="369"/>
      <c r="D193" s="1189">
        <v>1</v>
      </c>
      <c r="E193" s="1182" t="s">
        <v>405</v>
      </c>
      <c r="F193" s="370"/>
      <c r="G193" s="371"/>
      <c r="H193" s="371"/>
      <c r="I193" s="371"/>
      <c r="J193" s="371"/>
      <c r="K193" s="371"/>
      <c r="L193" s="371"/>
      <c r="M193" s="371"/>
      <c r="N193" s="371"/>
      <c r="O193" s="371"/>
      <c r="P193" s="371"/>
      <c r="Q193" s="371">
        <f ca="1">IF(NOT(ISBLANK(OFFSET(Q191,-2,0))),OFFSET(Q191,-2,0)-OFFSET(Q191,0,-1),0)</f>
        <v>0</v>
      </c>
      <c r="R193" s="321"/>
      <c r="S193" s="319" t="s">
        <v>232</v>
      </c>
    </row>
    <row r="194" spans="1:19" ht="11.25" hidden="1" customHeight="1" x14ac:dyDescent="0.35">
      <c r="A194" s="357" t="s">
        <v>406</v>
      </c>
      <c r="B194" s="360" t="s">
        <v>77</v>
      </c>
      <c r="C194" s="372" t="str">
        <f>$C$16&amp;" "&amp;B194</f>
        <v>Imputed depreciation (straight line)</v>
      </c>
      <c r="D194" s="1186"/>
      <c r="E194" s="385" t="s">
        <v>407</v>
      </c>
      <c r="F194" s="961"/>
      <c r="G194" s="962"/>
      <c r="H194" s="962"/>
      <c r="I194" s="962"/>
      <c r="J194" s="962"/>
      <c r="K194" s="962"/>
      <c r="L194" s="962"/>
      <c r="M194" s="962"/>
      <c r="N194" s="962"/>
      <c r="O194" s="962"/>
      <c r="P194" s="962"/>
      <c r="Q194" s="407"/>
      <c r="R194" s="321" t="str">
        <f>IF(MID(S194,7,1)="D","  ","")</f>
        <v/>
      </c>
      <c r="S194" s="319" t="s">
        <v>145</v>
      </c>
    </row>
    <row r="195" spans="1:19" ht="11.25" hidden="1" customHeight="1" x14ac:dyDescent="0.35">
      <c r="A195" s="357" t="s">
        <v>408</v>
      </c>
      <c r="B195" s="363">
        <v>1</v>
      </c>
      <c r="C195" s="373" t="s">
        <v>90</v>
      </c>
      <c r="D195" s="1190"/>
      <c r="E195" s="385" t="s">
        <v>409</v>
      </c>
      <c r="F195" s="964"/>
      <c r="G195" s="965">
        <f ca="1">IF(OR(AND(G$5=0,NoZeroCol=1),AND(G$5=-99,NoResCol=1)),IF(G$5=0,OFFSET(InvInfo,$B189+30,0),SUM(OFFSET(G195,0,-1))),IF(G$5=0,OFFSET(InvInfo,$B189+30,0),SUM(OFFSET(G195,0,-1)))-OFFSET(G191,-2,0)+OFFSET(G195,-1,0)+G197)+IF(OFFSET(InvInfo,$B189+30,3)=1,OFFSET($E$963,$B189-1,G$8)-OFFSET($E$963,$B189-1,G$8-1),0)+IF(AND(OFFSET(InvInfo,$B189+30,4)=1,G$5=OFFSET(InvInfo,$B189+30,5)),$C196,0)+G$1192</f>
        <v>0</v>
      </c>
      <c r="H195" s="965">
        <f t="shared" ref="H195:Q195" ca="1" si="47">IF(OR(AND(H$5=0,NoZeroCol=1),AND(H$5=-99,NoResCol=1)),IF(H$5=0,OFFSET(InvInfo,$B189+30,0),SUM(OFFSET(H195,0,-1))),IF(H$5=0,OFFSET(InvInfo,$B189+30,0),SUM(OFFSET(H195,0,-1)))-OFFSET(H191,-2,0)+OFFSET(H195,-1,0)+H197)+IF(OFFSET(InvInfo,$B189+30,3)=1,OFFSET($E$963,$B189-1,H$8)-OFFSET($E$963,$B189-1,H$8-1),0)+IF(AND(OFFSET(InvInfo,$B189+30,4)=1,H$5=OFFSET(InvInfo,$B189+30,5)),$C196,0)+H$1192</f>
        <v>0</v>
      </c>
      <c r="I195" s="965">
        <f t="shared" ca="1" si="47"/>
        <v>0</v>
      </c>
      <c r="J195" s="965">
        <f t="shared" ca="1" si="47"/>
        <v>0</v>
      </c>
      <c r="K195" s="965">
        <f t="shared" ca="1" si="47"/>
        <v>0</v>
      </c>
      <c r="L195" s="965">
        <f t="shared" ca="1" si="47"/>
        <v>0</v>
      </c>
      <c r="M195" s="965">
        <f t="shared" ca="1" si="47"/>
        <v>0</v>
      </c>
      <c r="N195" s="965">
        <f t="shared" ca="1" si="47"/>
        <v>0</v>
      </c>
      <c r="O195" s="965">
        <f t="shared" ca="1" si="47"/>
        <v>0</v>
      </c>
      <c r="P195" s="965">
        <f t="shared" ca="1" si="47"/>
        <v>0</v>
      </c>
      <c r="Q195" s="963">
        <f t="shared" ca="1" si="47"/>
        <v>0</v>
      </c>
      <c r="R195" s="321" t="str">
        <f>IF(MID(S195,7,1)="D","  ","")</f>
        <v/>
      </c>
      <c r="S195" s="319" t="s">
        <v>229</v>
      </c>
    </row>
    <row r="196" spans="1:19" ht="11.25" hidden="1" customHeight="1" x14ac:dyDescent="0.35">
      <c r="A196" s="357" t="s">
        <v>410</v>
      </c>
      <c r="B196" s="376">
        <v>0</v>
      </c>
      <c r="C196" s="375">
        <f>C192</f>
        <v>0</v>
      </c>
      <c r="D196" s="1189">
        <v>1</v>
      </c>
      <c r="E196" s="1181" t="s">
        <v>411</v>
      </c>
      <c r="F196" s="370"/>
      <c r="G196" s="371"/>
      <c r="H196" s="371"/>
      <c r="I196" s="371"/>
      <c r="J196" s="371"/>
      <c r="K196" s="371"/>
      <c r="L196" s="371"/>
      <c r="M196" s="371"/>
      <c r="N196" s="371"/>
      <c r="O196" s="371"/>
      <c r="P196" s="371"/>
      <c r="Q196" s="368">
        <f ca="1">OFFSET(Q195,-6,0)</f>
        <v>0</v>
      </c>
      <c r="R196" s="321"/>
      <c r="S196" s="319" t="s">
        <v>232</v>
      </c>
    </row>
    <row r="197" spans="1:19" ht="11.25" hidden="1" customHeight="1" x14ac:dyDescent="0.35">
      <c r="A197" s="357" t="s">
        <v>412</v>
      </c>
      <c r="B197" s="376">
        <v>1</v>
      </c>
      <c r="C197" s="369" t="str">
        <f>""&amp;C193</f>
        <v/>
      </c>
      <c r="D197" s="1189">
        <v>1</v>
      </c>
      <c r="E197" s="1183" t="s">
        <v>413</v>
      </c>
      <c r="F197" s="370"/>
      <c r="G197" s="371"/>
      <c r="H197" s="371"/>
      <c r="I197" s="371"/>
      <c r="J197" s="371"/>
      <c r="K197" s="371"/>
      <c r="L197" s="371"/>
      <c r="M197" s="371"/>
      <c r="N197" s="371"/>
      <c r="O197" s="371"/>
      <c r="P197" s="371"/>
      <c r="Q197" s="371">
        <f ca="1">IF(NOT(ISBLANK(OFFSET(Q195,-6,0))),OFFSET(Q195,-6,0)-OFFSET(Q195,0,-1),0)</f>
        <v>0</v>
      </c>
      <c r="R197" s="321"/>
      <c r="S197" s="319" t="s">
        <v>232</v>
      </c>
    </row>
    <row r="198" spans="1:19" ht="11.25" hidden="1" customHeight="1" x14ac:dyDescent="0.35">
      <c r="A198" s="353">
        <v>0</v>
      </c>
      <c r="B198" s="354"/>
      <c r="C198" s="355"/>
      <c r="D198" s="1184"/>
      <c r="E198" s="1180" t="s">
        <v>414</v>
      </c>
      <c r="F198" s="317"/>
      <c r="G198" s="356"/>
      <c r="H198" s="356"/>
      <c r="I198" s="356"/>
      <c r="J198" s="356"/>
      <c r="K198" s="356"/>
      <c r="L198" s="356"/>
      <c r="M198" s="356"/>
      <c r="N198" s="356"/>
      <c r="O198" s="356"/>
      <c r="P198" s="356"/>
      <c r="Q198" s="356"/>
      <c r="R198" s="321"/>
      <c r="S198" s="319" t="s">
        <v>145</v>
      </c>
    </row>
    <row r="199" spans="1:19" ht="11.25" hidden="1" customHeight="1" x14ac:dyDescent="0.35">
      <c r="A199" s="357" t="s">
        <v>415</v>
      </c>
      <c r="B199" s="358">
        <v>19</v>
      </c>
      <c r="C199" s="359"/>
      <c r="D199" s="1185"/>
      <c r="E199" s="380" t="s">
        <v>416</v>
      </c>
      <c r="F199" s="959"/>
      <c r="G199" s="960"/>
      <c r="H199" s="960"/>
      <c r="I199" s="960"/>
      <c r="J199" s="960"/>
      <c r="K199" s="960"/>
      <c r="L199" s="960"/>
      <c r="M199" s="960"/>
      <c r="N199" s="960"/>
      <c r="O199" s="960"/>
      <c r="P199" s="960"/>
      <c r="Q199" s="957">
        <f ca="1">OFFSET(Q199,2,-1)</f>
        <v>0</v>
      </c>
      <c r="R199" s="321" t="str">
        <f>IF(MID(S199,7,1)="D","  ","")</f>
        <v/>
      </c>
      <c r="S199" s="319" t="s">
        <v>145</v>
      </c>
    </row>
    <row r="200" spans="1:19" ht="11.25" hidden="1" customHeight="1" x14ac:dyDescent="0.35">
      <c r="A200" s="357" t="s">
        <v>417</v>
      </c>
      <c r="B200" s="360" t="s">
        <v>77</v>
      </c>
      <c r="C200" s="361" t="str">
        <f ca="1">SpecsTxt!$G$12&amp;" "&amp;B200</f>
        <v>Depreciation (straight line)</v>
      </c>
      <c r="D200" s="1186"/>
      <c r="E200" s="385" t="s">
        <v>418</v>
      </c>
      <c r="F200" s="961"/>
      <c r="G200" s="962"/>
      <c r="H200" s="962"/>
      <c r="I200" s="962"/>
      <c r="J200" s="962"/>
      <c r="K200" s="962"/>
      <c r="L200" s="962"/>
      <c r="M200" s="962"/>
      <c r="N200" s="962"/>
      <c r="O200" s="962"/>
      <c r="P200" s="962"/>
      <c r="Q200" s="407"/>
      <c r="R200" s="321" t="str">
        <f>IF(MID(S200,7,1)="D","  ","")</f>
        <v/>
      </c>
      <c r="S200" s="319" t="s">
        <v>145</v>
      </c>
    </row>
    <row r="201" spans="1:19" ht="11.25" hidden="1" customHeight="1" x14ac:dyDescent="0.35">
      <c r="A201" s="357" t="s">
        <v>419</v>
      </c>
      <c r="B201" s="363">
        <v>1</v>
      </c>
      <c r="C201" s="364" t="s">
        <v>80</v>
      </c>
      <c r="D201" s="1187"/>
      <c r="E201" s="385" t="s">
        <v>420</v>
      </c>
      <c r="F201" s="961"/>
      <c r="G201" s="962">
        <f ca="1">IF(OR(AND(G$5=0,NoZeroCol=1),AND(G$5=-99,NoResCol=1)),IF(G$5=0,OFFSET(InvInfo,$B199,0),SUM(OFFSET(G201,0,-1))),IF(G$5=0,OFFSET(InvInfo,$B199,0),SUM(OFFSET(G201,0,-1)))-OFFSET(G201,-2,0)+OFFSET(G201,-1,0)+G203)+IF(OFFSET(InvInfo,$B199,3)=1,OFFSET($E$933,$B199-1,G$8)-OFFSET($E$933,$B199-1,G$8-1),0)+IF(AND(OFFSET(InvInfo,$B199,4)=1,G$5=OFFSET(InvInfo,$B199,5)),$C202,0)+G$1193</f>
        <v>0</v>
      </c>
      <c r="H201" s="962">
        <f t="shared" ref="H201:Q201" ca="1" si="48">IF(OR(AND(H$5=0,NoZeroCol=1),AND(H$5=-99,NoResCol=1)),IF(H$5=0,OFFSET(InvInfo,$B199,0),SUM(OFFSET(H201,0,-1))),IF(H$5=0,OFFSET(InvInfo,$B199,0),SUM(OFFSET(H201,0,-1)))-OFFSET(H201,-2,0)+OFFSET(H201,-1,0)+H203)+IF(OFFSET(InvInfo,$B199,3)=1,OFFSET($E$933,$B199-1,H$8)-OFFSET($E$933,$B199-1,H$8-1),0)+IF(AND(OFFSET(InvInfo,$B199,4)=1,H$5=OFFSET(InvInfo,$B199,5)),$C202,0)+H$1193</f>
        <v>0</v>
      </c>
      <c r="I201" s="962">
        <f t="shared" ca="1" si="48"/>
        <v>0</v>
      </c>
      <c r="J201" s="962">
        <f t="shared" ca="1" si="48"/>
        <v>0</v>
      </c>
      <c r="K201" s="962">
        <f t="shared" ca="1" si="48"/>
        <v>0</v>
      </c>
      <c r="L201" s="962">
        <f t="shared" ca="1" si="48"/>
        <v>0</v>
      </c>
      <c r="M201" s="962">
        <f t="shared" ca="1" si="48"/>
        <v>0</v>
      </c>
      <c r="N201" s="962">
        <f t="shared" ca="1" si="48"/>
        <v>0</v>
      </c>
      <c r="O201" s="962">
        <f t="shared" ca="1" si="48"/>
        <v>0</v>
      </c>
      <c r="P201" s="962">
        <f t="shared" ca="1" si="48"/>
        <v>0</v>
      </c>
      <c r="Q201" s="407">
        <f t="shared" ca="1" si="48"/>
        <v>0</v>
      </c>
      <c r="R201" s="321" t="str">
        <f>IF(MID(S201,7,1)="D","  ","")</f>
        <v/>
      </c>
      <c r="S201" s="319" t="s">
        <v>229</v>
      </c>
    </row>
    <row r="202" spans="1:19" ht="11.25" hidden="1" customHeight="1" x14ac:dyDescent="0.35">
      <c r="A202" s="357" t="s">
        <v>421</v>
      </c>
      <c r="B202" s="365">
        <v>1</v>
      </c>
      <c r="C202" s="366">
        <v>0</v>
      </c>
      <c r="D202" s="1188">
        <v>1</v>
      </c>
      <c r="E202" s="1181" t="s">
        <v>422</v>
      </c>
      <c r="F202" s="367"/>
      <c r="G202" s="368"/>
      <c r="H202" s="368"/>
      <c r="I202" s="368"/>
      <c r="J202" s="368"/>
      <c r="K202" s="368"/>
      <c r="L202" s="368"/>
      <c r="M202" s="368"/>
      <c r="N202" s="368"/>
      <c r="O202" s="368"/>
      <c r="P202" s="368"/>
      <c r="Q202" s="368">
        <f ca="1">OFFSET(Q201,-2,0)</f>
        <v>0</v>
      </c>
      <c r="R202" s="321"/>
      <c r="S202" s="319" t="s">
        <v>232</v>
      </c>
    </row>
    <row r="203" spans="1:19" ht="11.25" hidden="1" customHeight="1" x14ac:dyDescent="0.35">
      <c r="A203" s="357" t="s">
        <v>423</v>
      </c>
      <c r="B203" s="360">
        <v>1</v>
      </c>
      <c r="C203" s="369"/>
      <c r="D203" s="1189">
        <v>1</v>
      </c>
      <c r="E203" s="1182" t="s">
        <v>424</v>
      </c>
      <c r="F203" s="370"/>
      <c r="G203" s="371"/>
      <c r="H203" s="371"/>
      <c r="I203" s="371"/>
      <c r="J203" s="371"/>
      <c r="K203" s="371"/>
      <c r="L203" s="371"/>
      <c r="M203" s="371"/>
      <c r="N203" s="371"/>
      <c r="O203" s="371"/>
      <c r="P203" s="371"/>
      <c r="Q203" s="371">
        <f ca="1">IF(NOT(ISBLANK(OFFSET(Q201,-2,0))),OFFSET(Q201,-2,0)-OFFSET(Q201,0,-1),0)</f>
        <v>0</v>
      </c>
      <c r="R203" s="321"/>
      <c r="S203" s="319" t="s">
        <v>232</v>
      </c>
    </row>
    <row r="204" spans="1:19" ht="11.25" hidden="1" customHeight="1" x14ac:dyDescent="0.35">
      <c r="A204" s="357" t="s">
        <v>425</v>
      </c>
      <c r="B204" s="360" t="s">
        <v>77</v>
      </c>
      <c r="C204" s="372" t="str">
        <f>$C$16&amp;" "&amp;B204</f>
        <v>Imputed depreciation (straight line)</v>
      </c>
      <c r="D204" s="1186"/>
      <c r="E204" s="385" t="s">
        <v>426</v>
      </c>
      <c r="F204" s="961"/>
      <c r="G204" s="962"/>
      <c r="H204" s="962"/>
      <c r="I204" s="962"/>
      <c r="J204" s="962"/>
      <c r="K204" s="962"/>
      <c r="L204" s="962"/>
      <c r="M204" s="962"/>
      <c r="N204" s="962"/>
      <c r="O204" s="962"/>
      <c r="P204" s="962"/>
      <c r="Q204" s="407"/>
      <c r="R204" s="321" t="str">
        <f>IF(MID(S204,7,1)="D","  ","")</f>
        <v/>
      </c>
      <c r="S204" s="319" t="s">
        <v>145</v>
      </c>
    </row>
    <row r="205" spans="1:19" ht="11.25" hidden="1" customHeight="1" x14ac:dyDescent="0.35">
      <c r="A205" s="357" t="s">
        <v>427</v>
      </c>
      <c r="B205" s="363">
        <v>1</v>
      </c>
      <c r="C205" s="373" t="s">
        <v>90</v>
      </c>
      <c r="D205" s="1190"/>
      <c r="E205" s="385" t="s">
        <v>428</v>
      </c>
      <c r="F205" s="964"/>
      <c r="G205" s="965">
        <f ca="1">IF(OR(AND(G$5=0,NoZeroCol=1),AND(G$5=-99,NoResCol=1)),IF(G$5=0,OFFSET(InvInfo,$B199+30,0),SUM(OFFSET(G205,0,-1))),IF(G$5=0,OFFSET(InvInfo,$B199+30,0),SUM(OFFSET(G205,0,-1)))-OFFSET(G201,-2,0)+OFFSET(G205,-1,0)+G207)+IF(OFFSET(InvInfo,$B199+30,3)=1,OFFSET($E$963,$B199-1,G$8)-OFFSET($E$963,$B199-1,G$8-1),0)+IF(AND(OFFSET(InvInfo,$B199+30,4)=1,G$5=OFFSET(InvInfo,$B199+30,5)),$C206,0)+G$1193</f>
        <v>0</v>
      </c>
      <c r="H205" s="965">
        <f t="shared" ref="H205:Q205" ca="1" si="49">IF(OR(AND(H$5=0,NoZeroCol=1),AND(H$5=-99,NoResCol=1)),IF(H$5=0,OFFSET(InvInfo,$B199+30,0),SUM(OFFSET(H205,0,-1))),IF(H$5=0,OFFSET(InvInfo,$B199+30,0),SUM(OFFSET(H205,0,-1)))-OFFSET(H201,-2,0)+OFFSET(H205,-1,0)+H207)+IF(OFFSET(InvInfo,$B199+30,3)=1,OFFSET($E$963,$B199-1,H$8)-OFFSET($E$963,$B199-1,H$8-1),0)+IF(AND(OFFSET(InvInfo,$B199+30,4)=1,H$5=OFFSET(InvInfo,$B199+30,5)),$C206,0)+H$1193</f>
        <v>0</v>
      </c>
      <c r="I205" s="965">
        <f t="shared" ca="1" si="49"/>
        <v>0</v>
      </c>
      <c r="J205" s="965">
        <f t="shared" ca="1" si="49"/>
        <v>0</v>
      </c>
      <c r="K205" s="965">
        <f t="shared" ca="1" si="49"/>
        <v>0</v>
      </c>
      <c r="L205" s="965">
        <f t="shared" ca="1" si="49"/>
        <v>0</v>
      </c>
      <c r="M205" s="965">
        <f t="shared" ca="1" si="49"/>
        <v>0</v>
      </c>
      <c r="N205" s="965">
        <f t="shared" ca="1" si="49"/>
        <v>0</v>
      </c>
      <c r="O205" s="965">
        <f t="shared" ca="1" si="49"/>
        <v>0</v>
      </c>
      <c r="P205" s="965">
        <f t="shared" ca="1" si="49"/>
        <v>0</v>
      </c>
      <c r="Q205" s="963">
        <f t="shared" ca="1" si="49"/>
        <v>0</v>
      </c>
      <c r="R205" s="321" t="str">
        <f>IF(MID(S205,7,1)="D","  ","")</f>
        <v/>
      </c>
      <c r="S205" s="319" t="s">
        <v>229</v>
      </c>
    </row>
    <row r="206" spans="1:19" ht="11.25" hidden="1" customHeight="1" x14ac:dyDescent="0.35">
      <c r="A206" s="357" t="s">
        <v>429</v>
      </c>
      <c r="B206" s="376">
        <v>0</v>
      </c>
      <c r="C206" s="375">
        <f>C202</f>
        <v>0</v>
      </c>
      <c r="D206" s="1189">
        <v>1</v>
      </c>
      <c r="E206" s="1181" t="s">
        <v>430</v>
      </c>
      <c r="F206" s="370"/>
      <c r="G206" s="371"/>
      <c r="H206" s="371"/>
      <c r="I206" s="371"/>
      <c r="J206" s="371"/>
      <c r="K206" s="371"/>
      <c r="L206" s="371"/>
      <c r="M206" s="371"/>
      <c r="N206" s="371"/>
      <c r="O206" s="371"/>
      <c r="P206" s="371"/>
      <c r="Q206" s="368">
        <f ca="1">OFFSET(Q205,-6,0)</f>
        <v>0</v>
      </c>
      <c r="R206" s="321"/>
      <c r="S206" s="319" t="s">
        <v>232</v>
      </c>
    </row>
    <row r="207" spans="1:19" ht="11.25" hidden="1" customHeight="1" x14ac:dyDescent="0.35">
      <c r="A207" s="357" t="s">
        <v>431</v>
      </c>
      <c r="B207" s="376">
        <v>1</v>
      </c>
      <c r="C207" s="369" t="str">
        <f>""&amp;C203</f>
        <v/>
      </c>
      <c r="D207" s="1189">
        <v>1</v>
      </c>
      <c r="E207" s="1183" t="s">
        <v>432</v>
      </c>
      <c r="F207" s="370"/>
      <c r="G207" s="371"/>
      <c r="H207" s="371"/>
      <c r="I207" s="371"/>
      <c r="J207" s="371"/>
      <c r="K207" s="371"/>
      <c r="L207" s="371"/>
      <c r="M207" s="371"/>
      <c r="N207" s="371"/>
      <c r="O207" s="371"/>
      <c r="P207" s="371"/>
      <c r="Q207" s="371">
        <f ca="1">IF(NOT(ISBLANK(OFFSET(Q205,-6,0))),OFFSET(Q205,-6,0)-OFFSET(Q205,0,-1),0)</f>
        <v>0</v>
      </c>
      <c r="R207" s="321"/>
      <c r="S207" s="319" t="s">
        <v>232</v>
      </c>
    </row>
    <row r="208" spans="1:19" ht="11.25" hidden="1" customHeight="1" x14ac:dyDescent="0.35">
      <c r="A208" s="353">
        <v>0</v>
      </c>
      <c r="B208" s="354"/>
      <c r="C208" s="355"/>
      <c r="D208" s="1184"/>
      <c r="E208" s="1180" t="s">
        <v>433</v>
      </c>
      <c r="F208" s="317"/>
      <c r="G208" s="356"/>
      <c r="H208" s="356"/>
      <c r="I208" s="356"/>
      <c r="J208" s="356"/>
      <c r="K208" s="356"/>
      <c r="L208" s="356"/>
      <c r="M208" s="356"/>
      <c r="N208" s="356"/>
      <c r="O208" s="356"/>
      <c r="P208" s="356"/>
      <c r="Q208" s="356"/>
      <c r="R208" s="321"/>
      <c r="S208" s="319" t="s">
        <v>145</v>
      </c>
    </row>
    <row r="209" spans="1:19" ht="11.25" hidden="1" customHeight="1" x14ac:dyDescent="0.35">
      <c r="A209" s="357" t="s">
        <v>434</v>
      </c>
      <c r="B209" s="358">
        <v>20</v>
      </c>
      <c r="C209" s="359"/>
      <c r="D209" s="1185"/>
      <c r="E209" s="380" t="s">
        <v>435</v>
      </c>
      <c r="F209" s="959"/>
      <c r="G209" s="960"/>
      <c r="H209" s="960"/>
      <c r="I209" s="960"/>
      <c r="J209" s="960"/>
      <c r="K209" s="960"/>
      <c r="L209" s="960"/>
      <c r="M209" s="960"/>
      <c r="N209" s="960"/>
      <c r="O209" s="960"/>
      <c r="P209" s="960"/>
      <c r="Q209" s="957">
        <f ca="1">OFFSET(Q209,2,-1)</f>
        <v>0</v>
      </c>
      <c r="R209" s="321" t="str">
        <f>IF(MID(S209,7,1)="D","  ","")</f>
        <v/>
      </c>
      <c r="S209" s="319" t="s">
        <v>145</v>
      </c>
    </row>
    <row r="210" spans="1:19" ht="11.25" hidden="1" customHeight="1" x14ac:dyDescent="0.35">
      <c r="A210" s="357" t="s">
        <v>436</v>
      </c>
      <c r="B210" s="360" t="s">
        <v>77</v>
      </c>
      <c r="C210" s="361" t="str">
        <f ca="1">SpecsTxt!$G$12&amp;" "&amp;B210</f>
        <v>Depreciation (straight line)</v>
      </c>
      <c r="D210" s="1186"/>
      <c r="E210" s="385" t="s">
        <v>437</v>
      </c>
      <c r="F210" s="961"/>
      <c r="G210" s="962"/>
      <c r="H210" s="962"/>
      <c r="I210" s="962"/>
      <c r="J210" s="962"/>
      <c r="K210" s="962"/>
      <c r="L210" s="962"/>
      <c r="M210" s="962"/>
      <c r="N210" s="962"/>
      <c r="O210" s="962"/>
      <c r="P210" s="962"/>
      <c r="Q210" s="407"/>
      <c r="R210" s="321" t="str">
        <f>IF(MID(S210,7,1)="D","  ","")</f>
        <v/>
      </c>
      <c r="S210" s="319" t="s">
        <v>145</v>
      </c>
    </row>
    <row r="211" spans="1:19" ht="11.25" hidden="1" customHeight="1" x14ac:dyDescent="0.35">
      <c r="A211" s="357" t="s">
        <v>438</v>
      </c>
      <c r="B211" s="363">
        <v>1</v>
      </c>
      <c r="C211" s="364" t="s">
        <v>80</v>
      </c>
      <c r="D211" s="1187"/>
      <c r="E211" s="385" t="s">
        <v>439</v>
      </c>
      <c r="F211" s="961"/>
      <c r="G211" s="962">
        <f ca="1">IF(OR(AND(G$5=0,NoZeroCol=1),AND(G$5=-99,NoResCol=1)),IF(G$5=0,OFFSET(InvInfo,$B209,0),SUM(OFFSET(G211,0,-1))),IF(G$5=0,OFFSET(InvInfo,$B209,0),SUM(OFFSET(G211,0,-1)))-OFFSET(G211,-2,0)+OFFSET(G211,-1,0)+G213)+IF(OFFSET(InvInfo,$B209,3)=1,OFFSET($E$933,$B209-1,G$8)-OFFSET($E$933,$B209-1,G$8-1),0)+IF(AND(OFFSET(InvInfo,$B209,4)=1,G$5=OFFSET(InvInfo,$B209,5)),$C212,0)+G$1194</f>
        <v>0</v>
      </c>
      <c r="H211" s="962">
        <f t="shared" ref="H211:Q211" ca="1" si="50">IF(OR(AND(H$5=0,NoZeroCol=1),AND(H$5=-99,NoResCol=1)),IF(H$5=0,OFFSET(InvInfo,$B209,0),SUM(OFFSET(H211,0,-1))),IF(H$5=0,OFFSET(InvInfo,$B209,0),SUM(OFFSET(H211,0,-1)))-OFFSET(H211,-2,0)+OFFSET(H211,-1,0)+H213)+IF(OFFSET(InvInfo,$B209,3)=1,OFFSET($E$933,$B209-1,H$8)-OFFSET($E$933,$B209-1,H$8-1),0)+IF(AND(OFFSET(InvInfo,$B209,4)=1,H$5=OFFSET(InvInfo,$B209,5)),$C212,0)+H$1194</f>
        <v>0</v>
      </c>
      <c r="I211" s="962">
        <f t="shared" ca="1" si="50"/>
        <v>0</v>
      </c>
      <c r="J211" s="962">
        <f t="shared" ca="1" si="50"/>
        <v>0</v>
      </c>
      <c r="K211" s="962">
        <f t="shared" ca="1" si="50"/>
        <v>0</v>
      </c>
      <c r="L211" s="962">
        <f t="shared" ca="1" si="50"/>
        <v>0</v>
      </c>
      <c r="M211" s="962">
        <f t="shared" ca="1" si="50"/>
        <v>0</v>
      </c>
      <c r="N211" s="962">
        <f t="shared" ca="1" si="50"/>
        <v>0</v>
      </c>
      <c r="O211" s="962">
        <f t="shared" ca="1" si="50"/>
        <v>0</v>
      </c>
      <c r="P211" s="962">
        <f t="shared" ca="1" si="50"/>
        <v>0</v>
      </c>
      <c r="Q211" s="407">
        <f t="shared" ca="1" si="50"/>
        <v>0</v>
      </c>
      <c r="R211" s="321" t="str">
        <f>IF(MID(S211,7,1)="D","  ","")</f>
        <v/>
      </c>
      <c r="S211" s="319" t="s">
        <v>229</v>
      </c>
    </row>
    <row r="212" spans="1:19" ht="11.25" hidden="1" customHeight="1" x14ac:dyDescent="0.35">
      <c r="A212" s="357" t="s">
        <v>440</v>
      </c>
      <c r="B212" s="365">
        <v>1</v>
      </c>
      <c r="C212" s="366">
        <v>0</v>
      </c>
      <c r="D212" s="1188">
        <v>1</v>
      </c>
      <c r="E212" s="1181" t="s">
        <v>441</v>
      </c>
      <c r="F212" s="367"/>
      <c r="G212" s="368"/>
      <c r="H212" s="368"/>
      <c r="I212" s="368"/>
      <c r="J212" s="368"/>
      <c r="K212" s="368"/>
      <c r="L212" s="368"/>
      <c r="M212" s="368"/>
      <c r="N212" s="368"/>
      <c r="O212" s="368"/>
      <c r="P212" s="368"/>
      <c r="Q212" s="368">
        <f ca="1">OFFSET(Q211,-2,0)</f>
        <v>0</v>
      </c>
      <c r="R212" s="321"/>
      <c r="S212" s="319" t="s">
        <v>232</v>
      </c>
    </row>
    <row r="213" spans="1:19" ht="11.25" hidden="1" customHeight="1" x14ac:dyDescent="0.35">
      <c r="A213" s="357" t="s">
        <v>442</v>
      </c>
      <c r="B213" s="360">
        <v>1</v>
      </c>
      <c r="C213" s="369"/>
      <c r="D213" s="1189">
        <v>1</v>
      </c>
      <c r="E213" s="1182" t="s">
        <v>443</v>
      </c>
      <c r="F213" s="370"/>
      <c r="G213" s="371"/>
      <c r="H213" s="371"/>
      <c r="I213" s="371"/>
      <c r="J213" s="371"/>
      <c r="K213" s="371"/>
      <c r="L213" s="371"/>
      <c r="M213" s="371"/>
      <c r="N213" s="371"/>
      <c r="O213" s="371"/>
      <c r="P213" s="371"/>
      <c r="Q213" s="371">
        <f ca="1">IF(NOT(ISBLANK(OFFSET(Q211,-2,0))),OFFSET(Q211,-2,0)-OFFSET(Q211,0,-1),0)</f>
        <v>0</v>
      </c>
      <c r="R213" s="321"/>
      <c r="S213" s="319" t="s">
        <v>232</v>
      </c>
    </row>
    <row r="214" spans="1:19" ht="11.25" hidden="1" customHeight="1" x14ac:dyDescent="0.35">
      <c r="A214" s="357" t="s">
        <v>444</v>
      </c>
      <c r="B214" s="360" t="s">
        <v>77</v>
      </c>
      <c r="C214" s="372" t="str">
        <f>$C$16&amp;" "&amp;B214</f>
        <v>Imputed depreciation (straight line)</v>
      </c>
      <c r="D214" s="1186"/>
      <c r="E214" s="385" t="s">
        <v>445</v>
      </c>
      <c r="F214" s="961"/>
      <c r="G214" s="962"/>
      <c r="H214" s="962"/>
      <c r="I214" s="962"/>
      <c r="J214" s="962"/>
      <c r="K214" s="962"/>
      <c r="L214" s="962"/>
      <c r="M214" s="962"/>
      <c r="N214" s="962"/>
      <c r="O214" s="962"/>
      <c r="P214" s="962"/>
      <c r="Q214" s="407"/>
      <c r="R214" s="321" t="str">
        <f>IF(MID(S214,7,1)="D","  ","")</f>
        <v/>
      </c>
      <c r="S214" s="319" t="s">
        <v>145</v>
      </c>
    </row>
    <row r="215" spans="1:19" ht="11.25" hidden="1" customHeight="1" x14ac:dyDescent="0.35">
      <c r="A215" s="357" t="s">
        <v>446</v>
      </c>
      <c r="B215" s="363">
        <v>1</v>
      </c>
      <c r="C215" s="373" t="s">
        <v>90</v>
      </c>
      <c r="D215" s="1190"/>
      <c r="E215" s="385" t="s">
        <v>447</v>
      </c>
      <c r="F215" s="964"/>
      <c r="G215" s="965">
        <f ca="1">IF(OR(AND(G$5=0,NoZeroCol=1),AND(G$5=-99,NoResCol=1)),IF(G$5=0,OFFSET(InvInfo,$B209+30,0),SUM(OFFSET(G215,0,-1))),IF(G$5=0,OFFSET(InvInfo,$B209+30,0),SUM(OFFSET(G215,0,-1)))-OFFSET(G211,-2,0)+OFFSET(G215,-1,0)+G217)+IF(OFFSET(InvInfo,$B209+30,3)=1,OFFSET($E$963,$B209-1,G$8)-OFFSET($E$963,$B209-1,G$8-1),0)+IF(AND(OFFSET(InvInfo,$B209+30,4)=1,G$5=OFFSET(InvInfo,$B209+30,5)),$C216,0)+G$1194</f>
        <v>0</v>
      </c>
      <c r="H215" s="965">
        <f t="shared" ref="H215:Q215" ca="1" si="51">IF(OR(AND(H$5=0,NoZeroCol=1),AND(H$5=-99,NoResCol=1)),IF(H$5=0,OFFSET(InvInfo,$B209+30,0),SUM(OFFSET(H215,0,-1))),IF(H$5=0,OFFSET(InvInfo,$B209+30,0),SUM(OFFSET(H215,0,-1)))-OFFSET(H211,-2,0)+OFFSET(H215,-1,0)+H217)+IF(OFFSET(InvInfo,$B209+30,3)=1,OFFSET($E$963,$B209-1,H$8)-OFFSET($E$963,$B209-1,H$8-1),0)+IF(AND(OFFSET(InvInfo,$B209+30,4)=1,H$5=OFFSET(InvInfo,$B209+30,5)),$C216,0)+H$1194</f>
        <v>0</v>
      </c>
      <c r="I215" s="965">
        <f t="shared" ca="1" si="51"/>
        <v>0</v>
      </c>
      <c r="J215" s="965">
        <f t="shared" ca="1" si="51"/>
        <v>0</v>
      </c>
      <c r="K215" s="965">
        <f t="shared" ca="1" si="51"/>
        <v>0</v>
      </c>
      <c r="L215" s="965">
        <f t="shared" ca="1" si="51"/>
        <v>0</v>
      </c>
      <c r="M215" s="965">
        <f t="shared" ca="1" si="51"/>
        <v>0</v>
      </c>
      <c r="N215" s="965">
        <f t="shared" ca="1" si="51"/>
        <v>0</v>
      </c>
      <c r="O215" s="965">
        <f t="shared" ca="1" si="51"/>
        <v>0</v>
      </c>
      <c r="P215" s="965">
        <f t="shared" ca="1" si="51"/>
        <v>0</v>
      </c>
      <c r="Q215" s="963">
        <f t="shared" ca="1" si="51"/>
        <v>0</v>
      </c>
      <c r="R215" s="321" t="str">
        <f>IF(MID(S215,7,1)="D","  ","")</f>
        <v/>
      </c>
      <c r="S215" s="319" t="s">
        <v>229</v>
      </c>
    </row>
    <row r="216" spans="1:19" ht="11.25" hidden="1" customHeight="1" x14ac:dyDescent="0.35">
      <c r="A216" s="357" t="s">
        <v>448</v>
      </c>
      <c r="B216" s="376">
        <v>0</v>
      </c>
      <c r="C216" s="375">
        <f>C212</f>
        <v>0</v>
      </c>
      <c r="D216" s="1189">
        <v>1</v>
      </c>
      <c r="E216" s="1181" t="s">
        <v>449</v>
      </c>
      <c r="F216" s="370"/>
      <c r="G216" s="371"/>
      <c r="H216" s="371"/>
      <c r="I216" s="371"/>
      <c r="J216" s="371"/>
      <c r="K216" s="371"/>
      <c r="L216" s="371"/>
      <c r="M216" s="371"/>
      <c r="N216" s="371"/>
      <c r="O216" s="371"/>
      <c r="P216" s="371"/>
      <c r="Q216" s="368">
        <f ca="1">OFFSET(Q215,-6,0)</f>
        <v>0</v>
      </c>
      <c r="R216" s="321"/>
      <c r="S216" s="319" t="s">
        <v>232</v>
      </c>
    </row>
    <row r="217" spans="1:19" ht="11.25" hidden="1" customHeight="1" x14ac:dyDescent="0.35">
      <c r="A217" s="357" t="s">
        <v>450</v>
      </c>
      <c r="B217" s="376">
        <v>1</v>
      </c>
      <c r="C217" s="369" t="str">
        <f>""&amp;C213</f>
        <v/>
      </c>
      <c r="D217" s="1189">
        <v>1</v>
      </c>
      <c r="E217" s="1183" t="s">
        <v>451</v>
      </c>
      <c r="F217" s="370"/>
      <c r="G217" s="371"/>
      <c r="H217" s="371"/>
      <c r="I217" s="371"/>
      <c r="J217" s="371"/>
      <c r="K217" s="371"/>
      <c r="L217" s="371"/>
      <c r="M217" s="371"/>
      <c r="N217" s="371"/>
      <c r="O217" s="371"/>
      <c r="P217" s="371"/>
      <c r="Q217" s="371">
        <f ca="1">IF(NOT(ISBLANK(OFFSET(Q215,-6,0))),OFFSET(Q215,-6,0)-OFFSET(Q215,0,-1),0)</f>
        <v>0</v>
      </c>
      <c r="R217" s="321"/>
      <c r="S217" s="319" t="s">
        <v>232</v>
      </c>
    </row>
    <row r="218" spans="1:19" ht="11.25" hidden="1" customHeight="1" x14ac:dyDescent="0.35">
      <c r="A218" s="353">
        <v>0</v>
      </c>
      <c r="B218" s="354"/>
      <c r="C218" s="355"/>
      <c r="D218" s="1184"/>
      <c r="E218" s="1180" t="s">
        <v>452</v>
      </c>
      <c r="F218" s="317"/>
      <c r="G218" s="356"/>
      <c r="H218" s="356"/>
      <c r="I218" s="356"/>
      <c r="J218" s="356"/>
      <c r="K218" s="356"/>
      <c r="L218" s="356"/>
      <c r="M218" s="356"/>
      <c r="N218" s="356"/>
      <c r="O218" s="356"/>
      <c r="P218" s="356"/>
      <c r="Q218" s="356"/>
      <c r="R218" s="321"/>
      <c r="S218" s="319" t="s">
        <v>145</v>
      </c>
    </row>
    <row r="219" spans="1:19" ht="11.25" hidden="1" customHeight="1" x14ac:dyDescent="0.35">
      <c r="A219" s="357" t="s">
        <v>453</v>
      </c>
      <c r="B219" s="358">
        <v>21</v>
      </c>
      <c r="C219" s="359"/>
      <c r="D219" s="1185"/>
      <c r="E219" s="380" t="s">
        <v>454</v>
      </c>
      <c r="F219" s="959"/>
      <c r="G219" s="960"/>
      <c r="H219" s="960"/>
      <c r="I219" s="960"/>
      <c r="J219" s="960"/>
      <c r="K219" s="960"/>
      <c r="L219" s="960"/>
      <c r="M219" s="960"/>
      <c r="N219" s="960"/>
      <c r="O219" s="960"/>
      <c r="P219" s="960"/>
      <c r="Q219" s="957">
        <f ca="1">OFFSET(Q219,2,-1)</f>
        <v>0</v>
      </c>
      <c r="R219" s="321" t="str">
        <f>IF(MID(S219,7,1)="D","  ","")</f>
        <v/>
      </c>
      <c r="S219" s="319" t="s">
        <v>145</v>
      </c>
    </row>
    <row r="220" spans="1:19" ht="11.25" hidden="1" customHeight="1" x14ac:dyDescent="0.35">
      <c r="A220" s="357" t="s">
        <v>455</v>
      </c>
      <c r="B220" s="360" t="s">
        <v>77</v>
      </c>
      <c r="C220" s="361" t="str">
        <f ca="1">SpecsTxt!$G$12&amp;" "&amp;B220</f>
        <v>Depreciation (straight line)</v>
      </c>
      <c r="D220" s="1186"/>
      <c r="E220" s="385" t="s">
        <v>456</v>
      </c>
      <c r="F220" s="961"/>
      <c r="G220" s="962"/>
      <c r="H220" s="962"/>
      <c r="I220" s="962"/>
      <c r="J220" s="962"/>
      <c r="K220" s="962"/>
      <c r="L220" s="962"/>
      <c r="M220" s="962"/>
      <c r="N220" s="962"/>
      <c r="O220" s="962"/>
      <c r="P220" s="962"/>
      <c r="Q220" s="407"/>
      <c r="R220" s="321" t="str">
        <f>IF(MID(S220,7,1)="D","  ","")</f>
        <v/>
      </c>
      <c r="S220" s="319" t="s">
        <v>145</v>
      </c>
    </row>
    <row r="221" spans="1:19" ht="11.25" hidden="1" customHeight="1" x14ac:dyDescent="0.35">
      <c r="A221" s="357" t="s">
        <v>457</v>
      </c>
      <c r="B221" s="363">
        <v>1</v>
      </c>
      <c r="C221" s="364" t="s">
        <v>80</v>
      </c>
      <c r="D221" s="1187"/>
      <c r="E221" s="385" t="s">
        <v>458</v>
      </c>
      <c r="F221" s="961"/>
      <c r="G221" s="962">
        <f ca="1">IF(OR(AND(G$5=0,NoZeroCol=1),AND(G$5=-99,NoResCol=1)),IF(G$5=0,OFFSET(InvInfo,$B219,0),SUM(OFFSET(G221,0,-1))),IF(G$5=0,OFFSET(InvInfo,$B219,0),SUM(OFFSET(G221,0,-1)))-OFFSET(G221,-2,0)+OFFSET(G221,-1,0)+G223)+IF(OFFSET(InvInfo,$B219,3)=1,OFFSET($E$933,$B219-1,G$8)-OFFSET($E$933,$B219-1,G$8-1),0)+IF(AND(OFFSET(InvInfo,$B219,4)=1,G$5=OFFSET(InvInfo,$B219,5)),$C222,0)+G$1195</f>
        <v>0</v>
      </c>
      <c r="H221" s="962">
        <f t="shared" ref="H221:Q221" ca="1" si="52">IF(OR(AND(H$5=0,NoZeroCol=1),AND(H$5=-99,NoResCol=1)),IF(H$5=0,OFFSET(InvInfo,$B219,0),SUM(OFFSET(H221,0,-1))),IF(H$5=0,OFFSET(InvInfo,$B219,0),SUM(OFFSET(H221,0,-1)))-OFFSET(H221,-2,0)+OFFSET(H221,-1,0)+H223)+IF(OFFSET(InvInfo,$B219,3)=1,OFFSET($E$933,$B219-1,H$8)-OFFSET($E$933,$B219-1,H$8-1),0)+IF(AND(OFFSET(InvInfo,$B219,4)=1,H$5=OFFSET(InvInfo,$B219,5)),$C222,0)+H$1195</f>
        <v>0</v>
      </c>
      <c r="I221" s="962">
        <f t="shared" ca="1" si="52"/>
        <v>0</v>
      </c>
      <c r="J221" s="962">
        <f t="shared" ca="1" si="52"/>
        <v>0</v>
      </c>
      <c r="K221" s="962">
        <f t="shared" ca="1" si="52"/>
        <v>0</v>
      </c>
      <c r="L221" s="962">
        <f t="shared" ca="1" si="52"/>
        <v>0</v>
      </c>
      <c r="M221" s="962">
        <f t="shared" ca="1" si="52"/>
        <v>0</v>
      </c>
      <c r="N221" s="962">
        <f t="shared" ca="1" si="52"/>
        <v>0</v>
      </c>
      <c r="O221" s="962">
        <f t="shared" ca="1" si="52"/>
        <v>0</v>
      </c>
      <c r="P221" s="962">
        <f t="shared" ca="1" si="52"/>
        <v>0</v>
      </c>
      <c r="Q221" s="407">
        <f t="shared" ca="1" si="52"/>
        <v>0</v>
      </c>
      <c r="R221" s="321" t="str">
        <f>IF(MID(S221,7,1)="D","  ","")</f>
        <v/>
      </c>
      <c r="S221" s="319" t="s">
        <v>229</v>
      </c>
    </row>
    <row r="222" spans="1:19" ht="11.25" hidden="1" customHeight="1" x14ac:dyDescent="0.35">
      <c r="A222" s="357" t="s">
        <v>459</v>
      </c>
      <c r="B222" s="365">
        <v>1</v>
      </c>
      <c r="C222" s="366">
        <v>0</v>
      </c>
      <c r="D222" s="1188">
        <v>1</v>
      </c>
      <c r="E222" s="1181" t="s">
        <v>460</v>
      </c>
      <c r="F222" s="367"/>
      <c r="G222" s="368"/>
      <c r="H222" s="368"/>
      <c r="I222" s="368"/>
      <c r="J222" s="368"/>
      <c r="K222" s="368"/>
      <c r="L222" s="368"/>
      <c r="M222" s="368"/>
      <c r="N222" s="368"/>
      <c r="O222" s="368"/>
      <c r="P222" s="368"/>
      <c r="Q222" s="368">
        <f ca="1">OFFSET(Q221,-2,0)</f>
        <v>0</v>
      </c>
      <c r="R222" s="321"/>
      <c r="S222" s="319" t="s">
        <v>232</v>
      </c>
    </row>
    <row r="223" spans="1:19" ht="11.25" hidden="1" customHeight="1" x14ac:dyDescent="0.35">
      <c r="A223" s="357" t="s">
        <v>461</v>
      </c>
      <c r="B223" s="360">
        <v>1</v>
      </c>
      <c r="C223" s="369"/>
      <c r="D223" s="1189">
        <v>1</v>
      </c>
      <c r="E223" s="1182" t="s">
        <v>462</v>
      </c>
      <c r="F223" s="370"/>
      <c r="G223" s="371"/>
      <c r="H223" s="371"/>
      <c r="I223" s="371"/>
      <c r="J223" s="371"/>
      <c r="K223" s="371"/>
      <c r="L223" s="371"/>
      <c r="M223" s="371"/>
      <c r="N223" s="371"/>
      <c r="O223" s="371"/>
      <c r="P223" s="371"/>
      <c r="Q223" s="371">
        <f ca="1">IF(NOT(ISBLANK(OFFSET(Q221,-2,0))),OFFSET(Q221,-2,0)-OFFSET(Q221,0,-1),0)</f>
        <v>0</v>
      </c>
      <c r="R223" s="321"/>
      <c r="S223" s="319" t="s">
        <v>232</v>
      </c>
    </row>
    <row r="224" spans="1:19" ht="11.25" hidden="1" customHeight="1" x14ac:dyDescent="0.35">
      <c r="A224" s="357" t="s">
        <v>463</v>
      </c>
      <c r="B224" s="360" t="s">
        <v>77</v>
      </c>
      <c r="C224" s="372" t="str">
        <f>$C$16&amp;" "&amp;B224</f>
        <v>Imputed depreciation (straight line)</v>
      </c>
      <c r="D224" s="1186"/>
      <c r="E224" s="385" t="s">
        <v>464</v>
      </c>
      <c r="F224" s="961"/>
      <c r="G224" s="962"/>
      <c r="H224" s="962"/>
      <c r="I224" s="962"/>
      <c r="J224" s="962"/>
      <c r="K224" s="962"/>
      <c r="L224" s="962"/>
      <c r="M224" s="962"/>
      <c r="N224" s="962"/>
      <c r="O224" s="962"/>
      <c r="P224" s="962"/>
      <c r="Q224" s="407"/>
      <c r="R224" s="321" t="str">
        <f>IF(MID(S224,7,1)="D","  ","")</f>
        <v/>
      </c>
      <c r="S224" s="319" t="s">
        <v>145</v>
      </c>
    </row>
    <row r="225" spans="1:19" ht="11.25" hidden="1" customHeight="1" x14ac:dyDescent="0.35">
      <c r="A225" s="357" t="s">
        <v>465</v>
      </c>
      <c r="B225" s="363">
        <v>1</v>
      </c>
      <c r="C225" s="373" t="s">
        <v>90</v>
      </c>
      <c r="D225" s="1190"/>
      <c r="E225" s="385" t="s">
        <v>466</v>
      </c>
      <c r="F225" s="964"/>
      <c r="G225" s="965">
        <f ca="1">IF(OR(AND(G$5=0,NoZeroCol=1),AND(G$5=-99,NoResCol=1)),IF(G$5=0,OFFSET(InvInfo,$B219+30,0),SUM(OFFSET(G225,0,-1))),IF(G$5=0,OFFSET(InvInfo,$B219+30,0),SUM(OFFSET(G225,0,-1)))-OFFSET(G221,-2,0)+OFFSET(G225,-1,0)+G227)+IF(OFFSET(InvInfo,$B219+30,3)=1,OFFSET($E$963,$B219-1,G$8)-OFFSET($E$963,$B219-1,G$8-1),0)+IF(AND(OFFSET(InvInfo,$B219+30,4)=1,G$5=OFFSET(InvInfo,$B219+30,5)),$C226,0)+G$1195</f>
        <v>0</v>
      </c>
      <c r="H225" s="965">
        <f t="shared" ref="H225:Q225" ca="1" si="53">IF(OR(AND(H$5=0,NoZeroCol=1),AND(H$5=-99,NoResCol=1)),IF(H$5=0,OFFSET(InvInfo,$B219+30,0),SUM(OFFSET(H225,0,-1))),IF(H$5=0,OFFSET(InvInfo,$B219+30,0),SUM(OFFSET(H225,0,-1)))-OFFSET(H221,-2,0)+OFFSET(H225,-1,0)+H227)+IF(OFFSET(InvInfo,$B219+30,3)=1,OFFSET($E$963,$B219-1,H$8)-OFFSET($E$963,$B219-1,H$8-1),0)+IF(AND(OFFSET(InvInfo,$B219+30,4)=1,H$5=OFFSET(InvInfo,$B219+30,5)),$C226,0)+H$1195</f>
        <v>0</v>
      </c>
      <c r="I225" s="965">
        <f t="shared" ca="1" si="53"/>
        <v>0</v>
      </c>
      <c r="J225" s="965">
        <f t="shared" ca="1" si="53"/>
        <v>0</v>
      </c>
      <c r="K225" s="965">
        <f t="shared" ca="1" si="53"/>
        <v>0</v>
      </c>
      <c r="L225" s="965">
        <f t="shared" ca="1" si="53"/>
        <v>0</v>
      </c>
      <c r="M225" s="965">
        <f t="shared" ca="1" si="53"/>
        <v>0</v>
      </c>
      <c r="N225" s="965">
        <f t="shared" ca="1" si="53"/>
        <v>0</v>
      </c>
      <c r="O225" s="965">
        <f t="shared" ca="1" si="53"/>
        <v>0</v>
      </c>
      <c r="P225" s="965">
        <f t="shared" ca="1" si="53"/>
        <v>0</v>
      </c>
      <c r="Q225" s="963">
        <f t="shared" ca="1" si="53"/>
        <v>0</v>
      </c>
      <c r="R225" s="321" t="str">
        <f>IF(MID(S225,7,1)="D","  ","")</f>
        <v/>
      </c>
      <c r="S225" s="319" t="s">
        <v>229</v>
      </c>
    </row>
    <row r="226" spans="1:19" ht="11.25" hidden="1" customHeight="1" x14ac:dyDescent="0.35">
      <c r="A226" s="357" t="s">
        <v>467</v>
      </c>
      <c r="B226" s="376">
        <v>0</v>
      </c>
      <c r="C226" s="375">
        <f>C222</f>
        <v>0</v>
      </c>
      <c r="D226" s="1189">
        <v>1</v>
      </c>
      <c r="E226" s="1181" t="s">
        <v>468</v>
      </c>
      <c r="F226" s="370"/>
      <c r="G226" s="371"/>
      <c r="H226" s="371"/>
      <c r="I226" s="371"/>
      <c r="J226" s="371"/>
      <c r="K226" s="371"/>
      <c r="L226" s="371"/>
      <c r="M226" s="371"/>
      <c r="N226" s="371"/>
      <c r="O226" s="371"/>
      <c r="P226" s="371"/>
      <c r="Q226" s="368">
        <f ca="1">OFFSET(Q225,-6,0)</f>
        <v>0</v>
      </c>
      <c r="R226" s="321"/>
      <c r="S226" s="319" t="s">
        <v>232</v>
      </c>
    </row>
    <row r="227" spans="1:19" ht="11.25" hidden="1" customHeight="1" x14ac:dyDescent="0.35">
      <c r="A227" s="357" t="s">
        <v>469</v>
      </c>
      <c r="B227" s="376">
        <v>1</v>
      </c>
      <c r="C227" s="369" t="str">
        <f>""&amp;C223</f>
        <v/>
      </c>
      <c r="D227" s="1189">
        <v>1</v>
      </c>
      <c r="E227" s="1183" t="s">
        <v>470</v>
      </c>
      <c r="F227" s="370"/>
      <c r="G227" s="371"/>
      <c r="H227" s="371"/>
      <c r="I227" s="371"/>
      <c r="J227" s="371"/>
      <c r="K227" s="371"/>
      <c r="L227" s="371"/>
      <c r="M227" s="371"/>
      <c r="N227" s="371"/>
      <c r="O227" s="371"/>
      <c r="P227" s="371"/>
      <c r="Q227" s="371">
        <f ca="1">IF(NOT(ISBLANK(OFFSET(Q225,-6,0))),OFFSET(Q225,-6,0)-OFFSET(Q225,0,-1),0)</f>
        <v>0</v>
      </c>
      <c r="R227" s="321"/>
      <c r="S227" s="319" t="s">
        <v>232</v>
      </c>
    </row>
    <row r="228" spans="1:19" ht="11.25" hidden="1" customHeight="1" x14ac:dyDescent="0.35">
      <c r="A228" s="353">
        <v>0</v>
      </c>
      <c r="B228" s="354"/>
      <c r="C228" s="355"/>
      <c r="D228" s="1184"/>
      <c r="E228" s="1180" t="s">
        <v>471</v>
      </c>
      <c r="F228" s="317"/>
      <c r="G228" s="356"/>
      <c r="H228" s="356"/>
      <c r="I228" s="356"/>
      <c r="J228" s="356"/>
      <c r="K228" s="356"/>
      <c r="L228" s="356"/>
      <c r="M228" s="356"/>
      <c r="N228" s="356"/>
      <c r="O228" s="356"/>
      <c r="P228" s="356"/>
      <c r="Q228" s="356"/>
      <c r="R228" s="321"/>
      <c r="S228" s="319" t="s">
        <v>145</v>
      </c>
    </row>
    <row r="229" spans="1:19" ht="11.25" hidden="1" customHeight="1" x14ac:dyDescent="0.35">
      <c r="A229" s="357" t="s">
        <v>472</v>
      </c>
      <c r="B229" s="358">
        <v>22</v>
      </c>
      <c r="C229" s="359"/>
      <c r="D229" s="1185"/>
      <c r="E229" s="380" t="s">
        <v>473</v>
      </c>
      <c r="F229" s="959"/>
      <c r="G229" s="960"/>
      <c r="H229" s="960"/>
      <c r="I229" s="960"/>
      <c r="J229" s="960"/>
      <c r="K229" s="960"/>
      <c r="L229" s="960"/>
      <c r="M229" s="960"/>
      <c r="N229" s="960"/>
      <c r="O229" s="960"/>
      <c r="P229" s="960"/>
      <c r="Q229" s="957">
        <f ca="1">OFFSET(Q229,2,-1)</f>
        <v>0</v>
      </c>
      <c r="R229" s="321" t="str">
        <f>IF(MID(S229,7,1)="D","  ","")</f>
        <v/>
      </c>
      <c r="S229" s="319" t="s">
        <v>145</v>
      </c>
    </row>
    <row r="230" spans="1:19" ht="11.25" hidden="1" customHeight="1" x14ac:dyDescent="0.35">
      <c r="A230" s="357" t="s">
        <v>474</v>
      </c>
      <c r="B230" s="360" t="s">
        <v>77</v>
      </c>
      <c r="C230" s="361" t="str">
        <f ca="1">SpecsTxt!$G$12&amp;" "&amp;B230</f>
        <v>Depreciation (straight line)</v>
      </c>
      <c r="D230" s="1186"/>
      <c r="E230" s="385" t="s">
        <v>475</v>
      </c>
      <c r="F230" s="961"/>
      <c r="G230" s="962"/>
      <c r="H230" s="962"/>
      <c r="I230" s="962"/>
      <c r="J230" s="962"/>
      <c r="K230" s="962"/>
      <c r="L230" s="962"/>
      <c r="M230" s="962"/>
      <c r="N230" s="962"/>
      <c r="O230" s="962"/>
      <c r="P230" s="962"/>
      <c r="Q230" s="407"/>
      <c r="R230" s="321" t="str">
        <f>IF(MID(S230,7,1)="D","  ","")</f>
        <v/>
      </c>
      <c r="S230" s="319" t="s">
        <v>145</v>
      </c>
    </row>
    <row r="231" spans="1:19" ht="11.25" hidden="1" customHeight="1" x14ac:dyDescent="0.35">
      <c r="A231" s="357" t="s">
        <v>476</v>
      </c>
      <c r="B231" s="363">
        <v>1</v>
      </c>
      <c r="C231" s="364" t="s">
        <v>80</v>
      </c>
      <c r="D231" s="1187"/>
      <c r="E231" s="385" t="s">
        <v>477</v>
      </c>
      <c r="F231" s="961"/>
      <c r="G231" s="962">
        <f ca="1">IF(OR(AND(G$5=0,NoZeroCol=1),AND(G$5=-99,NoResCol=1)),IF(G$5=0,OFFSET(InvInfo,$B229,0),SUM(OFFSET(G231,0,-1))),IF(G$5=0,OFFSET(InvInfo,$B229,0),SUM(OFFSET(G231,0,-1)))-OFFSET(G231,-2,0)+OFFSET(G231,-1,0)+G233)+IF(OFFSET(InvInfo,$B229,3)=1,OFFSET($E$933,$B229-1,G$8)-OFFSET($E$933,$B229-1,G$8-1),0)+IF(AND(OFFSET(InvInfo,$B229,4)=1,G$5=OFFSET(InvInfo,$B229,5)),$C232,0)+G$1196</f>
        <v>0</v>
      </c>
      <c r="H231" s="962">
        <f t="shared" ref="H231:Q231" ca="1" si="54">IF(OR(AND(H$5=0,NoZeroCol=1),AND(H$5=-99,NoResCol=1)),IF(H$5=0,OFFSET(InvInfo,$B229,0),SUM(OFFSET(H231,0,-1))),IF(H$5=0,OFFSET(InvInfo,$B229,0),SUM(OFFSET(H231,0,-1)))-OFFSET(H231,-2,0)+OFFSET(H231,-1,0)+H233)+IF(OFFSET(InvInfo,$B229,3)=1,OFFSET($E$933,$B229-1,H$8)-OFFSET($E$933,$B229-1,H$8-1),0)+IF(AND(OFFSET(InvInfo,$B229,4)=1,H$5=OFFSET(InvInfo,$B229,5)),$C232,0)+H$1196</f>
        <v>0</v>
      </c>
      <c r="I231" s="962">
        <f t="shared" ca="1" si="54"/>
        <v>0</v>
      </c>
      <c r="J231" s="962">
        <f t="shared" ca="1" si="54"/>
        <v>0</v>
      </c>
      <c r="K231" s="962">
        <f t="shared" ca="1" si="54"/>
        <v>0</v>
      </c>
      <c r="L231" s="962">
        <f t="shared" ca="1" si="54"/>
        <v>0</v>
      </c>
      <c r="M231" s="962">
        <f t="shared" ca="1" si="54"/>
        <v>0</v>
      </c>
      <c r="N231" s="962">
        <f t="shared" ca="1" si="54"/>
        <v>0</v>
      </c>
      <c r="O231" s="962">
        <f t="shared" ca="1" si="54"/>
        <v>0</v>
      </c>
      <c r="P231" s="962">
        <f t="shared" ca="1" si="54"/>
        <v>0</v>
      </c>
      <c r="Q231" s="407">
        <f t="shared" ca="1" si="54"/>
        <v>0</v>
      </c>
      <c r="R231" s="321" t="str">
        <f>IF(MID(S231,7,1)="D","  ","")</f>
        <v/>
      </c>
      <c r="S231" s="319" t="s">
        <v>229</v>
      </c>
    </row>
    <row r="232" spans="1:19" ht="11.25" hidden="1" customHeight="1" x14ac:dyDescent="0.35">
      <c r="A232" s="357" t="s">
        <v>478</v>
      </c>
      <c r="B232" s="365">
        <v>1</v>
      </c>
      <c r="C232" s="366">
        <v>0</v>
      </c>
      <c r="D232" s="1188">
        <v>1</v>
      </c>
      <c r="E232" s="1181" t="s">
        <v>479</v>
      </c>
      <c r="F232" s="367"/>
      <c r="G232" s="368"/>
      <c r="H232" s="368"/>
      <c r="I232" s="368"/>
      <c r="J232" s="368"/>
      <c r="K232" s="368"/>
      <c r="L232" s="368"/>
      <c r="M232" s="368"/>
      <c r="N232" s="368"/>
      <c r="O232" s="368"/>
      <c r="P232" s="368"/>
      <c r="Q232" s="368">
        <f ca="1">OFFSET(Q231,-2,0)</f>
        <v>0</v>
      </c>
      <c r="R232" s="321"/>
      <c r="S232" s="319" t="s">
        <v>232</v>
      </c>
    </row>
    <row r="233" spans="1:19" ht="11.25" hidden="1" customHeight="1" x14ac:dyDescent="0.35">
      <c r="A233" s="357" t="s">
        <v>480</v>
      </c>
      <c r="B233" s="360">
        <v>1</v>
      </c>
      <c r="C233" s="369"/>
      <c r="D233" s="1189">
        <v>1</v>
      </c>
      <c r="E233" s="1182" t="s">
        <v>481</v>
      </c>
      <c r="F233" s="370"/>
      <c r="G233" s="371"/>
      <c r="H233" s="371"/>
      <c r="I233" s="371"/>
      <c r="J233" s="371"/>
      <c r="K233" s="371"/>
      <c r="L233" s="371"/>
      <c r="M233" s="371"/>
      <c r="N233" s="371"/>
      <c r="O233" s="371"/>
      <c r="P233" s="371"/>
      <c r="Q233" s="371">
        <f ca="1">IF(NOT(ISBLANK(OFFSET(Q231,-2,0))),OFFSET(Q231,-2,0)-OFFSET(Q231,0,-1),0)</f>
        <v>0</v>
      </c>
      <c r="R233" s="321"/>
      <c r="S233" s="319" t="s">
        <v>232</v>
      </c>
    </row>
    <row r="234" spans="1:19" ht="11.25" hidden="1" customHeight="1" x14ac:dyDescent="0.35">
      <c r="A234" s="357" t="s">
        <v>482</v>
      </c>
      <c r="B234" s="360" t="s">
        <v>77</v>
      </c>
      <c r="C234" s="372" t="str">
        <f>$C$16&amp;" "&amp;B234</f>
        <v>Imputed depreciation (straight line)</v>
      </c>
      <c r="D234" s="1186"/>
      <c r="E234" s="385" t="s">
        <v>483</v>
      </c>
      <c r="F234" s="961"/>
      <c r="G234" s="962"/>
      <c r="H234" s="962"/>
      <c r="I234" s="962"/>
      <c r="J234" s="962"/>
      <c r="K234" s="962"/>
      <c r="L234" s="962"/>
      <c r="M234" s="962"/>
      <c r="N234" s="962"/>
      <c r="O234" s="962"/>
      <c r="P234" s="962"/>
      <c r="Q234" s="407"/>
      <c r="R234" s="321" t="str">
        <f>IF(MID(S234,7,1)="D","  ","")</f>
        <v/>
      </c>
      <c r="S234" s="319" t="s">
        <v>145</v>
      </c>
    </row>
    <row r="235" spans="1:19" ht="11.25" hidden="1" customHeight="1" x14ac:dyDescent="0.35">
      <c r="A235" s="357" t="s">
        <v>484</v>
      </c>
      <c r="B235" s="363">
        <v>1</v>
      </c>
      <c r="C235" s="373" t="s">
        <v>90</v>
      </c>
      <c r="D235" s="1190"/>
      <c r="E235" s="385" t="s">
        <v>485</v>
      </c>
      <c r="F235" s="964"/>
      <c r="G235" s="965">
        <f ca="1">IF(OR(AND(G$5=0,NoZeroCol=1),AND(G$5=-99,NoResCol=1)),IF(G$5=0,OFFSET(InvInfo,$B229+30,0),SUM(OFFSET(G235,0,-1))),IF(G$5=0,OFFSET(InvInfo,$B229+30,0),SUM(OFFSET(G235,0,-1)))-OFFSET(G231,-2,0)+OFFSET(G235,-1,0)+G237)+IF(OFFSET(InvInfo,$B229+30,3)=1,OFFSET($E$963,$B229-1,G$8)-OFFSET($E$963,$B229-1,G$8-1),0)+IF(AND(OFFSET(InvInfo,$B229+30,4)=1,G$5=OFFSET(InvInfo,$B229+30,5)),$C236,0)+G$1196</f>
        <v>0</v>
      </c>
      <c r="H235" s="965">
        <f t="shared" ref="H235:Q235" ca="1" si="55">IF(OR(AND(H$5=0,NoZeroCol=1),AND(H$5=-99,NoResCol=1)),IF(H$5=0,OFFSET(InvInfo,$B229+30,0),SUM(OFFSET(H235,0,-1))),IF(H$5=0,OFFSET(InvInfo,$B229+30,0),SUM(OFFSET(H235,0,-1)))-OFFSET(H231,-2,0)+OFFSET(H235,-1,0)+H237)+IF(OFFSET(InvInfo,$B229+30,3)=1,OFFSET($E$963,$B229-1,H$8)-OFFSET($E$963,$B229-1,H$8-1),0)+IF(AND(OFFSET(InvInfo,$B229+30,4)=1,H$5=OFFSET(InvInfo,$B229+30,5)),$C236,0)+H$1196</f>
        <v>0</v>
      </c>
      <c r="I235" s="965">
        <f t="shared" ca="1" si="55"/>
        <v>0</v>
      </c>
      <c r="J235" s="965">
        <f t="shared" ca="1" si="55"/>
        <v>0</v>
      </c>
      <c r="K235" s="965">
        <f t="shared" ca="1" si="55"/>
        <v>0</v>
      </c>
      <c r="L235" s="965">
        <f t="shared" ca="1" si="55"/>
        <v>0</v>
      </c>
      <c r="M235" s="965">
        <f t="shared" ca="1" si="55"/>
        <v>0</v>
      </c>
      <c r="N235" s="965">
        <f t="shared" ca="1" si="55"/>
        <v>0</v>
      </c>
      <c r="O235" s="965">
        <f t="shared" ca="1" si="55"/>
        <v>0</v>
      </c>
      <c r="P235" s="965">
        <f t="shared" ca="1" si="55"/>
        <v>0</v>
      </c>
      <c r="Q235" s="963">
        <f t="shared" ca="1" si="55"/>
        <v>0</v>
      </c>
      <c r="R235" s="321" t="str">
        <f>IF(MID(S235,7,1)="D","  ","")</f>
        <v/>
      </c>
      <c r="S235" s="319" t="s">
        <v>229</v>
      </c>
    </row>
    <row r="236" spans="1:19" ht="11.25" hidden="1" customHeight="1" x14ac:dyDescent="0.35">
      <c r="A236" s="357" t="s">
        <v>486</v>
      </c>
      <c r="B236" s="376">
        <v>0</v>
      </c>
      <c r="C236" s="375">
        <f>C232</f>
        <v>0</v>
      </c>
      <c r="D236" s="1189">
        <v>1</v>
      </c>
      <c r="E236" s="1181" t="s">
        <v>487</v>
      </c>
      <c r="F236" s="370"/>
      <c r="G236" s="371"/>
      <c r="H236" s="371"/>
      <c r="I236" s="371"/>
      <c r="J236" s="371"/>
      <c r="K236" s="371"/>
      <c r="L236" s="371"/>
      <c r="M236" s="371"/>
      <c r="N236" s="371"/>
      <c r="O236" s="371"/>
      <c r="P236" s="371"/>
      <c r="Q236" s="368">
        <f ca="1">OFFSET(Q235,-6,0)</f>
        <v>0</v>
      </c>
      <c r="R236" s="321"/>
      <c r="S236" s="319" t="s">
        <v>232</v>
      </c>
    </row>
    <row r="237" spans="1:19" ht="11.25" hidden="1" customHeight="1" x14ac:dyDescent="0.35">
      <c r="A237" s="357" t="s">
        <v>488</v>
      </c>
      <c r="B237" s="376">
        <v>1</v>
      </c>
      <c r="C237" s="369" t="str">
        <f>""&amp;C233</f>
        <v/>
      </c>
      <c r="D237" s="1189">
        <v>1</v>
      </c>
      <c r="E237" s="1183" t="s">
        <v>489</v>
      </c>
      <c r="F237" s="370"/>
      <c r="G237" s="371"/>
      <c r="H237" s="371"/>
      <c r="I237" s="371"/>
      <c r="J237" s="371"/>
      <c r="K237" s="371"/>
      <c r="L237" s="371"/>
      <c r="M237" s="371"/>
      <c r="N237" s="371"/>
      <c r="O237" s="371"/>
      <c r="P237" s="371"/>
      <c r="Q237" s="371">
        <f ca="1">IF(NOT(ISBLANK(OFFSET(Q235,-6,0))),OFFSET(Q235,-6,0)-OFFSET(Q235,0,-1),0)</f>
        <v>0</v>
      </c>
      <c r="R237" s="321"/>
      <c r="S237" s="319" t="s">
        <v>232</v>
      </c>
    </row>
    <row r="238" spans="1:19" ht="11.25" hidden="1" customHeight="1" x14ac:dyDescent="0.35">
      <c r="A238" s="353">
        <v>0</v>
      </c>
      <c r="B238" s="354"/>
      <c r="C238" s="355"/>
      <c r="D238" s="1184"/>
      <c r="E238" s="1180" t="s">
        <v>490</v>
      </c>
      <c r="F238" s="317"/>
      <c r="G238" s="356"/>
      <c r="H238" s="356"/>
      <c r="I238" s="356"/>
      <c r="J238" s="356"/>
      <c r="K238" s="356"/>
      <c r="L238" s="356"/>
      <c r="M238" s="356"/>
      <c r="N238" s="356"/>
      <c r="O238" s="356"/>
      <c r="P238" s="356"/>
      <c r="Q238" s="356"/>
      <c r="R238" s="321"/>
      <c r="S238" s="319" t="s">
        <v>145</v>
      </c>
    </row>
    <row r="239" spans="1:19" ht="11.25" hidden="1" customHeight="1" x14ac:dyDescent="0.35">
      <c r="A239" s="357" t="s">
        <v>491</v>
      </c>
      <c r="B239" s="358">
        <v>23</v>
      </c>
      <c r="C239" s="359"/>
      <c r="D239" s="1185"/>
      <c r="E239" s="380" t="s">
        <v>492</v>
      </c>
      <c r="F239" s="959"/>
      <c r="G239" s="960"/>
      <c r="H239" s="960"/>
      <c r="I239" s="960"/>
      <c r="J239" s="960"/>
      <c r="K239" s="960"/>
      <c r="L239" s="960"/>
      <c r="M239" s="960"/>
      <c r="N239" s="960"/>
      <c r="O239" s="960"/>
      <c r="P239" s="960"/>
      <c r="Q239" s="957">
        <f ca="1">OFFSET(Q239,2,-1)</f>
        <v>0</v>
      </c>
      <c r="R239" s="321" t="str">
        <f>IF(MID(S239,7,1)="D","  ","")</f>
        <v/>
      </c>
      <c r="S239" s="319" t="s">
        <v>145</v>
      </c>
    </row>
    <row r="240" spans="1:19" ht="11.25" hidden="1" customHeight="1" x14ac:dyDescent="0.35">
      <c r="A240" s="357" t="s">
        <v>493</v>
      </c>
      <c r="B240" s="360" t="s">
        <v>77</v>
      </c>
      <c r="C240" s="361" t="str">
        <f ca="1">SpecsTxt!$G$12&amp;" "&amp;B240</f>
        <v>Depreciation (straight line)</v>
      </c>
      <c r="D240" s="1186"/>
      <c r="E240" s="385" t="s">
        <v>494</v>
      </c>
      <c r="F240" s="961"/>
      <c r="G240" s="962"/>
      <c r="H240" s="962"/>
      <c r="I240" s="962"/>
      <c r="J240" s="962"/>
      <c r="K240" s="962"/>
      <c r="L240" s="962"/>
      <c r="M240" s="962"/>
      <c r="N240" s="962"/>
      <c r="O240" s="962"/>
      <c r="P240" s="962"/>
      <c r="Q240" s="407"/>
      <c r="R240" s="321" t="str">
        <f>IF(MID(S240,7,1)="D","  ","")</f>
        <v/>
      </c>
      <c r="S240" s="319" t="s">
        <v>145</v>
      </c>
    </row>
    <row r="241" spans="1:19" ht="11.25" hidden="1" customHeight="1" x14ac:dyDescent="0.35">
      <c r="A241" s="357" t="s">
        <v>495</v>
      </c>
      <c r="B241" s="363">
        <v>1</v>
      </c>
      <c r="C241" s="364" t="s">
        <v>80</v>
      </c>
      <c r="D241" s="1187"/>
      <c r="E241" s="385" t="s">
        <v>496</v>
      </c>
      <c r="F241" s="961"/>
      <c r="G241" s="962">
        <f ca="1">IF(OR(AND(G$5=0,NoZeroCol=1),AND(G$5=-99,NoResCol=1)),IF(G$5=0,OFFSET(InvInfo,$B239,0),SUM(OFFSET(G241,0,-1))),IF(G$5=0,OFFSET(InvInfo,$B239,0),SUM(OFFSET(G241,0,-1)))-OFFSET(G241,-2,0)+OFFSET(G241,-1,0)+G243)+IF(OFFSET(InvInfo,$B239,3)=1,OFFSET($E$933,$B239-1,G$8)-OFFSET($E$933,$B239-1,G$8-1),0)+IF(AND(OFFSET(InvInfo,$B239,4)=1,G$5=OFFSET(InvInfo,$B239,5)),$C242,0)+G$1197</f>
        <v>0</v>
      </c>
      <c r="H241" s="962">
        <f t="shared" ref="H241:Q241" ca="1" si="56">IF(OR(AND(H$5=0,NoZeroCol=1),AND(H$5=-99,NoResCol=1)),IF(H$5=0,OFFSET(InvInfo,$B239,0),SUM(OFFSET(H241,0,-1))),IF(H$5=0,OFFSET(InvInfo,$B239,0),SUM(OFFSET(H241,0,-1)))-OFFSET(H241,-2,0)+OFFSET(H241,-1,0)+H243)+IF(OFFSET(InvInfo,$B239,3)=1,OFFSET($E$933,$B239-1,H$8)-OFFSET($E$933,$B239-1,H$8-1),0)+IF(AND(OFFSET(InvInfo,$B239,4)=1,H$5=OFFSET(InvInfo,$B239,5)),$C242,0)+H$1197</f>
        <v>0</v>
      </c>
      <c r="I241" s="962">
        <f t="shared" ca="1" si="56"/>
        <v>0</v>
      </c>
      <c r="J241" s="962">
        <f t="shared" ca="1" si="56"/>
        <v>0</v>
      </c>
      <c r="K241" s="962">
        <f t="shared" ca="1" si="56"/>
        <v>0</v>
      </c>
      <c r="L241" s="962">
        <f t="shared" ca="1" si="56"/>
        <v>0</v>
      </c>
      <c r="M241" s="962">
        <f t="shared" ca="1" si="56"/>
        <v>0</v>
      </c>
      <c r="N241" s="962">
        <f t="shared" ca="1" si="56"/>
        <v>0</v>
      </c>
      <c r="O241" s="962">
        <f t="shared" ca="1" si="56"/>
        <v>0</v>
      </c>
      <c r="P241" s="962">
        <f t="shared" ca="1" si="56"/>
        <v>0</v>
      </c>
      <c r="Q241" s="407">
        <f t="shared" ca="1" si="56"/>
        <v>0</v>
      </c>
      <c r="R241" s="321" t="str">
        <f>IF(MID(S241,7,1)="D","  ","")</f>
        <v/>
      </c>
      <c r="S241" s="319" t="s">
        <v>229</v>
      </c>
    </row>
    <row r="242" spans="1:19" ht="11.25" hidden="1" customHeight="1" x14ac:dyDescent="0.35">
      <c r="A242" s="357" t="s">
        <v>497</v>
      </c>
      <c r="B242" s="365">
        <v>1</v>
      </c>
      <c r="C242" s="366">
        <v>0</v>
      </c>
      <c r="D242" s="1188">
        <v>1</v>
      </c>
      <c r="E242" s="1181" t="s">
        <v>498</v>
      </c>
      <c r="F242" s="367"/>
      <c r="G242" s="368"/>
      <c r="H242" s="368"/>
      <c r="I242" s="368"/>
      <c r="J242" s="368"/>
      <c r="K242" s="368"/>
      <c r="L242" s="368"/>
      <c r="M242" s="368"/>
      <c r="N242" s="368"/>
      <c r="O242" s="368"/>
      <c r="P242" s="368"/>
      <c r="Q242" s="368">
        <f ca="1">OFFSET(Q241,-2,0)</f>
        <v>0</v>
      </c>
      <c r="R242" s="321"/>
      <c r="S242" s="319" t="s">
        <v>232</v>
      </c>
    </row>
    <row r="243" spans="1:19" ht="11.25" hidden="1" customHeight="1" x14ac:dyDescent="0.35">
      <c r="A243" s="357" t="s">
        <v>499</v>
      </c>
      <c r="B243" s="360">
        <v>1</v>
      </c>
      <c r="C243" s="369"/>
      <c r="D243" s="1189">
        <v>1</v>
      </c>
      <c r="E243" s="1182" t="s">
        <v>500</v>
      </c>
      <c r="F243" s="370"/>
      <c r="G243" s="371"/>
      <c r="H243" s="371"/>
      <c r="I243" s="371"/>
      <c r="J243" s="371"/>
      <c r="K243" s="371"/>
      <c r="L243" s="371"/>
      <c r="M243" s="371"/>
      <c r="N243" s="371"/>
      <c r="O243" s="371"/>
      <c r="P243" s="371"/>
      <c r="Q243" s="371">
        <f ca="1">IF(NOT(ISBLANK(OFFSET(Q241,-2,0))),OFFSET(Q241,-2,0)-OFFSET(Q241,0,-1),0)</f>
        <v>0</v>
      </c>
      <c r="R243" s="321"/>
      <c r="S243" s="319" t="s">
        <v>232</v>
      </c>
    </row>
    <row r="244" spans="1:19" ht="11.25" hidden="1" customHeight="1" x14ac:dyDescent="0.35">
      <c r="A244" s="357" t="s">
        <v>501</v>
      </c>
      <c r="B244" s="360" t="s">
        <v>77</v>
      </c>
      <c r="C244" s="372" t="str">
        <f>$C$16&amp;" "&amp;B244</f>
        <v>Imputed depreciation (straight line)</v>
      </c>
      <c r="D244" s="1186"/>
      <c r="E244" s="385" t="s">
        <v>502</v>
      </c>
      <c r="F244" s="961"/>
      <c r="G244" s="962"/>
      <c r="H244" s="962"/>
      <c r="I244" s="962"/>
      <c r="J244" s="962"/>
      <c r="K244" s="962"/>
      <c r="L244" s="962"/>
      <c r="M244" s="962"/>
      <c r="N244" s="962"/>
      <c r="O244" s="962"/>
      <c r="P244" s="962"/>
      <c r="Q244" s="407"/>
      <c r="R244" s="321" t="str">
        <f>IF(MID(S244,7,1)="D","  ","")</f>
        <v/>
      </c>
      <c r="S244" s="319" t="s">
        <v>145</v>
      </c>
    </row>
    <row r="245" spans="1:19" ht="11.25" hidden="1" customHeight="1" x14ac:dyDescent="0.35">
      <c r="A245" s="357" t="s">
        <v>503</v>
      </c>
      <c r="B245" s="363">
        <v>1</v>
      </c>
      <c r="C245" s="373" t="s">
        <v>90</v>
      </c>
      <c r="D245" s="1190"/>
      <c r="E245" s="385" t="s">
        <v>504</v>
      </c>
      <c r="F245" s="964"/>
      <c r="G245" s="965">
        <f ca="1">IF(OR(AND(G$5=0,NoZeroCol=1),AND(G$5=-99,NoResCol=1)),IF(G$5=0,OFFSET(InvInfo,$B239+30,0),SUM(OFFSET(G245,0,-1))),IF(G$5=0,OFFSET(InvInfo,$B239+30,0),SUM(OFFSET(G245,0,-1)))-OFFSET(G241,-2,0)+OFFSET(G245,-1,0)+G247)+IF(OFFSET(InvInfo,$B239+30,3)=1,OFFSET($E$963,$B239-1,G$8)-OFFSET($E$963,$B239-1,G$8-1),0)+IF(AND(OFFSET(InvInfo,$B239+30,4)=1,G$5=OFFSET(InvInfo,$B239+30,5)),$C246,0)+G$1197</f>
        <v>0</v>
      </c>
      <c r="H245" s="965">
        <f t="shared" ref="H245:Q245" ca="1" si="57">IF(OR(AND(H$5=0,NoZeroCol=1),AND(H$5=-99,NoResCol=1)),IF(H$5=0,OFFSET(InvInfo,$B239+30,0),SUM(OFFSET(H245,0,-1))),IF(H$5=0,OFFSET(InvInfo,$B239+30,0),SUM(OFFSET(H245,0,-1)))-OFFSET(H241,-2,0)+OFFSET(H245,-1,0)+H247)+IF(OFFSET(InvInfo,$B239+30,3)=1,OFFSET($E$963,$B239-1,H$8)-OFFSET($E$963,$B239-1,H$8-1),0)+IF(AND(OFFSET(InvInfo,$B239+30,4)=1,H$5=OFFSET(InvInfo,$B239+30,5)),$C246,0)+H$1197</f>
        <v>0</v>
      </c>
      <c r="I245" s="965">
        <f t="shared" ca="1" si="57"/>
        <v>0</v>
      </c>
      <c r="J245" s="965">
        <f t="shared" ca="1" si="57"/>
        <v>0</v>
      </c>
      <c r="K245" s="965">
        <f t="shared" ca="1" si="57"/>
        <v>0</v>
      </c>
      <c r="L245" s="965">
        <f t="shared" ca="1" si="57"/>
        <v>0</v>
      </c>
      <c r="M245" s="965">
        <f t="shared" ca="1" si="57"/>
        <v>0</v>
      </c>
      <c r="N245" s="965">
        <f t="shared" ca="1" si="57"/>
        <v>0</v>
      </c>
      <c r="O245" s="965">
        <f t="shared" ca="1" si="57"/>
        <v>0</v>
      </c>
      <c r="P245" s="965">
        <f t="shared" ca="1" si="57"/>
        <v>0</v>
      </c>
      <c r="Q245" s="963">
        <f t="shared" ca="1" si="57"/>
        <v>0</v>
      </c>
      <c r="R245" s="321" t="str">
        <f>IF(MID(S245,7,1)="D","  ","")</f>
        <v/>
      </c>
      <c r="S245" s="319" t="s">
        <v>229</v>
      </c>
    </row>
    <row r="246" spans="1:19" ht="11.25" hidden="1" customHeight="1" x14ac:dyDescent="0.35">
      <c r="A246" s="357" t="s">
        <v>505</v>
      </c>
      <c r="B246" s="376">
        <v>0</v>
      </c>
      <c r="C246" s="375">
        <f>C242</f>
        <v>0</v>
      </c>
      <c r="D246" s="1189">
        <v>1</v>
      </c>
      <c r="E246" s="1181" t="s">
        <v>506</v>
      </c>
      <c r="F246" s="370"/>
      <c r="G246" s="371"/>
      <c r="H246" s="371"/>
      <c r="I246" s="371"/>
      <c r="J246" s="371"/>
      <c r="K246" s="371"/>
      <c r="L246" s="371"/>
      <c r="M246" s="371"/>
      <c r="N246" s="371"/>
      <c r="O246" s="371"/>
      <c r="P246" s="371"/>
      <c r="Q246" s="368">
        <f ca="1">OFFSET(Q245,-6,0)</f>
        <v>0</v>
      </c>
      <c r="R246" s="321"/>
      <c r="S246" s="319" t="s">
        <v>232</v>
      </c>
    </row>
    <row r="247" spans="1:19" ht="11.25" hidden="1" customHeight="1" x14ac:dyDescent="0.35">
      <c r="A247" s="357" t="s">
        <v>507</v>
      </c>
      <c r="B247" s="376">
        <v>1</v>
      </c>
      <c r="C247" s="369" t="str">
        <f>""&amp;C243</f>
        <v/>
      </c>
      <c r="D247" s="1189">
        <v>1</v>
      </c>
      <c r="E247" s="1183" t="s">
        <v>508</v>
      </c>
      <c r="F247" s="370"/>
      <c r="G247" s="371"/>
      <c r="H247" s="371"/>
      <c r="I247" s="371"/>
      <c r="J247" s="371"/>
      <c r="K247" s="371"/>
      <c r="L247" s="371"/>
      <c r="M247" s="371"/>
      <c r="N247" s="371"/>
      <c r="O247" s="371"/>
      <c r="P247" s="371"/>
      <c r="Q247" s="371">
        <f ca="1">IF(NOT(ISBLANK(OFFSET(Q245,-6,0))),OFFSET(Q245,-6,0)-OFFSET(Q245,0,-1),0)</f>
        <v>0</v>
      </c>
      <c r="R247" s="321"/>
      <c r="S247" s="319" t="s">
        <v>232</v>
      </c>
    </row>
    <row r="248" spans="1:19" ht="11.25" hidden="1" customHeight="1" x14ac:dyDescent="0.35">
      <c r="A248" s="353">
        <v>0</v>
      </c>
      <c r="B248" s="354"/>
      <c r="C248" s="355"/>
      <c r="D248" s="1184"/>
      <c r="E248" s="1180" t="s">
        <v>509</v>
      </c>
      <c r="F248" s="317"/>
      <c r="G248" s="356"/>
      <c r="H248" s="356"/>
      <c r="I248" s="356"/>
      <c r="J248" s="356"/>
      <c r="K248" s="356"/>
      <c r="L248" s="356"/>
      <c r="M248" s="356"/>
      <c r="N248" s="356"/>
      <c r="O248" s="356"/>
      <c r="P248" s="356"/>
      <c r="Q248" s="356"/>
      <c r="R248" s="321"/>
      <c r="S248" s="319" t="s">
        <v>145</v>
      </c>
    </row>
    <row r="249" spans="1:19" ht="11.25" hidden="1" customHeight="1" x14ac:dyDescent="0.35">
      <c r="A249" s="357" t="s">
        <v>510</v>
      </c>
      <c r="B249" s="358">
        <v>24</v>
      </c>
      <c r="C249" s="359"/>
      <c r="D249" s="1185"/>
      <c r="E249" s="380" t="s">
        <v>511</v>
      </c>
      <c r="F249" s="959"/>
      <c r="G249" s="960"/>
      <c r="H249" s="960"/>
      <c r="I249" s="960"/>
      <c r="J249" s="960"/>
      <c r="K249" s="960"/>
      <c r="L249" s="960"/>
      <c r="M249" s="960"/>
      <c r="N249" s="960"/>
      <c r="O249" s="960"/>
      <c r="P249" s="960"/>
      <c r="Q249" s="957">
        <f ca="1">OFFSET(Q249,2,-1)</f>
        <v>0</v>
      </c>
      <c r="R249" s="321" t="str">
        <f>IF(MID(S249,7,1)="D","  ","")</f>
        <v/>
      </c>
      <c r="S249" s="319" t="s">
        <v>145</v>
      </c>
    </row>
    <row r="250" spans="1:19" ht="11.25" hidden="1" customHeight="1" x14ac:dyDescent="0.35">
      <c r="A250" s="357" t="s">
        <v>512</v>
      </c>
      <c r="B250" s="360" t="s">
        <v>77</v>
      </c>
      <c r="C250" s="361" t="str">
        <f ca="1">SpecsTxt!$G$12&amp;" "&amp;B250</f>
        <v>Depreciation (straight line)</v>
      </c>
      <c r="D250" s="1186"/>
      <c r="E250" s="385" t="s">
        <v>513</v>
      </c>
      <c r="F250" s="961"/>
      <c r="G250" s="962"/>
      <c r="H250" s="962"/>
      <c r="I250" s="962"/>
      <c r="J250" s="962"/>
      <c r="K250" s="962"/>
      <c r="L250" s="962"/>
      <c r="M250" s="962"/>
      <c r="N250" s="962"/>
      <c r="O250" s="962"/>
      <c r="P250" s="962"/>
      <c r="Q250" s="407"/>
      <c r="R250" s="321" t="str">
        <f>IF(MID(S250,7,1)="D","  ","")</f>
        <v/>
      </c>
      <c r="S250" s="319" t="s">
        <v>145</v>
      </c>
    </row>
    <row r="251" spans="1:19" ht="11.25" hidden="1" customHeight="1" x14ac:dyDescent="0.35">
      <c r="A251" s="357" t="s">
        <v>514</v>
      </c>
      <c r="B251" s="363">
        <v>1</v>
      </c>
      <c r="C251" s="364" t="s">
        <v>80</v>
      </c>
      <c r="D251" s="1187"/>
      <c r="E251" s="385" t="s">
        <v>515</v>
      </c>
      <c r="F251" s="961"/>
      <c r="G251" s="962">
        <f ca="1">IF(OR(AND(G$5=0,NoZeroCol=1),AND(G$5=-99,NoResCol=1)),IF(G$5=0,OFFSET(InvInfo,$B249,0),SUM(OFFSET(G251,0,-1))),IF(G$5=0,OFFSET(InvInfo,$B249,0),SUM(OFFSET(G251,0,-1)))-OFFSET(G251,-2,0)+OFFSET(G251,-1,0)+G253)+IF(OFFSET(InvInfo,$B249,3)=1,OFFSET($E$933,$B249-1,G$8)-OFFSET($E$933,$B249-1,G$8-1),0)+IF(AND(OFFSET(InvInfo,$B249,4)=1,G$5=OFFSET(InvInfo,$B249,5)),$C252,0)+G$1198</f>
        <v>0</v>
      </c>
      <c r="H251" s="962">
        <f t="shared" ref="H251:Q251" ca="1" si="58">IF(OR(AND(H$5=0,NoZeroCol=1),AND(H$5=-99,NoResCol=1)),IF(H$5=0,OFFSET(InvInfo,$B249,0),SUM(OFFSET(H251,0,-1))),IF(H$5=0,OFFSET(InvInfo,$B249,0),SUM(OFFSET(H251,0,-1)))-OFFSET(H251,-2,0)+OFFSET(H251,-1,0)+H253)+IF(OFFSET(InvInfo,$B249,3)=1,OFFSET($E$933,$B249-1,H$8)-OFFSET($E$933,$B249-1,H$8-1),0)+IF(AND(OFFSET(InvInfo,$B249,4)=1,H$5=OFFSET(InvInfo,$B249,5)),$C252,0)+H$1198</f>
        <v>0</v>
      </c>
      <c r="I251" s="962">
        <f t="shared" ca="1" si="58"/>
        <v>0</v>
      </c>
      <c r="J251" s="962">
        <f t="shared" ca="1" si="58"/>
        <v>0</v>
      </c>
      <c r="K251" s="962">
        <f t="shared" ca="1" si="58"/>
        <v>0</v>
      </c>
      <c r="L251" s="962">
        <f t="shared" ca="1" si="58"/>
        <v>0</v>
      </c>
      <c r="M251" s="962">
        <f t="shared" ca="1" si="58"/>
        <v>0</v>
      </c>
      <c r="N251" s="962">
        <f t="shared" ca="1" si="58"/>
        <v>0</v>
      </c>
      <c r="O251" s="962">
        <f t="shared" ca="1" si="58"/>
        <v>0</v>
      </c>
      <c r="P251" s="962">
        <f t="shared" ca="1" si="58"/>
        <v>0</v>
      </c>
      <c r="Q251" s="407">
        <f t="shared" ca="1" si="58"/>
        <v>0</v>
      </c>
      <c r="R251" s="321" t="str">
        <f>IF(MID(S251,7,1)="D","  ","")</f>
        <v/>
      </c>
      <c r="S251" s="319" t="s">
        <v>229</v>
      </c>
    </row>
    <row r="252" spans="1:19" ht="11.25" hidden="1" customHeight="1" x14ac:dyDescent="0.35">
      <c r="A252" s="357" t="s">
        <v>516</v>
      </c>
      <c r="B252" s="365">
        <v>1</v>
      </c>
      <c r="C252" s="366">
        <v>0</v>
      </c>
      <c r="D252" s="1188">
        <v>1</v>
      </c>
      <c r="E252" s="1181" t="s">
        <v>517</v>
      </c>
      <c r="F252" s="367"/>
      <c r="G252" s="368"/>
      <c r="H252" s="368"/>
      <c r="I252" s="368"/>
      <c r="J252" s="368"/>
      <c r="K252" s="368"/>
      <c r="L252" s="368"/>
      <c r="M252" s="368"/>
      <c r="N252" s="368"/>
      <c r="O252" s="368"/>
      <c r="P252" s="368"/>
      <c r="Q252" s="368">
        <f ca="1">OFFSET(Q251,-2,0)</f>
        <v>0</v>
      </c>
      <c r="R252" s="321"/>
      <c r="S252" s="319" t="s">
        <v>232</v>
      </c>
    </row>
    <row r="253" spans="1:19" ht="11.25" hidden="1" customHeight="1" x14ac:dyDescent="0.35">
      <c r="A253" s="357" t="s">
        <v>518</v>
      </c>
      <c r="B253" s="360">
        <v>1</v>
      </c>
      <c r="C253" s="369"/>
      <c r="D253" s="1189">
        <v>1</v>
      </c>
      <c r="E253" s="1182" t="s">
        <v>519</v>
      </c>
      <c r="F253" s="370"/>
      <c r="G253" s="371"/>
      <c r="H253" s="371"/>
      <c r="I253" s="371"/>
      <c r="J253" s="371"/>
      <c r="K253" s="371"/>
      <c r="L253" s="371"/>
      <c r="M253" s="371"/>
      <c r="N253" s="371"/>
      <c r="O253" s="371"/>
      <c r="P253" s="371"/>
      <c r="Q253" s="371">
        <f ca="1">IF(NOT(ISBLANK(OFFSET(Q251,-2,0))),OFFSET(Q251,-2,0)-OFFSET(Q251,0,-1),0)</f>
        <v>0</v>
      </c>
      <c r="R253" s="321"/>
      <c r="S253" s="319" t="s">
        <v>232</v>
      </c>
    </row>
    <row r="254" spans="1:19" ht="11.25" hidden="1" customHeight="1" x14ac:dyDescent="0.35">
      <c r="A254" s="357" t="s">
        <v>520</v>
      </c>
      <c r="B254" s="360" t="s">
        <v>77</v>
      </c>
      <c r="C254" s="372" t="str">
        <f>$C$16&amp;" "&amp;B254</f>
        <v>Imputed depreciation (straight line)</v>
      </c>
      <c r="D254" s="1186"/>
      <c r="E254" s="385" t="s">
        <v>521</v>
      </c>
      <c r="F254" s="961"/>
      <c r="G254" s="962"/>
      <c r="H254" s="962"/>
      <c r="I254" s="962"/>
      <c r="J254" s="962"/>
      <c r="K254" s="962"/>
      <c r="L254" s="962"/>
      <c r="M254" s="962"/>
      <c r="N254" s="962"/>
      <c r="O254" s="962"/>
      <c r="P254" s="962"/>
      <c r="Q254" s="407"/>
      <c r="R254" s="321" t="str">
        <f>IF(MID(S254,7,1)="D","  ","")</f>
        <v/>
      </c>
      <c r="S254" s="319" t="s">
        <v>145</v>
      </c>
    </row>
    <row r="255" spans="1:19" ht="11.25" hidden="1" customHeight="1" x14ac:dyDescent="0.35">
      <c r="A255" s="357" t="s">
        <v>522</v>
      </c>
      <c r="B255" s="363">
        <v>1</v>
      </c>
      <c r="C255" s="373" t="s">
        <v>90</v>
      </c>
      <c r="D255" s="1190"/>
      <c r="E255" s="385" t="s">
        <v>523</v>
      </c>
      <c r="F255" s="964"/>
      <c r="G255" s="965">
        <f ca="1">IF(OR(AND(G$5=0,NoZeroCol=1),AND(G$5=-99,NoResCol=1)),IF(G$5=0,OFFSET(InvInfo,$B249+30,0),SUM(OFFSET(G255,0,-1))),IF(G$5=0,OFFSET(InvInfo,$B249+30,0),SUM(OFFSET(G255,0,-1)))-OFFSET(G251,-2,0)+OFFSET(G255,-1,0)+G257)+IF(OFFSET(InvInfo,$B249+30,3)=1,OFFSET($E$963,$B249-1,G$8)-OFFSET($E$963,$B249-1,G$8-1),0)+IF(AND(OFFSET(InvInfo,$B249+30,4)=1,G$5=OFFSET(InvInfo,$B249+30,5)),$C256,0)+G$1198</f>
        <v>0</v>
      </c>
      <c r="H255" s="965">
        <f t="shared" ref="H255:Q255" ca="1" si="59">IF(OR(AND(H$5=0,NoZeroCol=1),AND(H$5=-99,NoResCol=1)),IF(H$5=0,OFFSET(InvInfo,$B249+30,0),SUM(OFFSET(H255,0,-1))),IF(H$5=0,OFFSET(InvInfo,$B249+30,0),SUM(OFFSET(H255,0,-1)))-OFFSET(H251,-2,0)+OFFSET(H255,-1,0)+H257)+IF(OFFSET(InvInfo,$B249+30,3)=1,OFFSET($E$963,$B249-1,H$8)-OFFSET($E$963,$B249-1,H$8-1),0)+IF(AND(OFFSET(InvInfo,$B249+30,4)=1,H$5=OFFSET(InvInfo,$B249+30,5)),$C256,0)+H$1198</f>
        <v>0</v>
      </c>
      <c r="I255" s="965">
        <f t="shared" ca="1" si="59"/>
        <v>0</v>
      </c>
      <c r="J255" s="965">
        <f t="shared" ca="1" si="59"/>
        <v>0</v>
      </c>
      <c r="K255" s="965">
        <f t="shared" ca="1" si="59"/>
        <v>0</v>
      </c>
      <c r="L255" s="965">
        <f t="shared" ca="1" si="59"/>
        <v>0</v>
      </c>
      <c r="M255" s="965">
        <f t="shared" ca="1" si="59"/>
        <v>0</v>
      </c>
      <c r="N255" s="965">
        <f t="shared" ca="1" si="59"/>
        <v>0</v>
      </c>
      <c r="O255" s="965">
        <f t="shared" ca="1" si="59"/>
        <v>0</v>
      </c>
      <c r="P255" s="965">
        <f t="shared" ca="1" si="59"/>
        <v>0</v>
      </c>
      <c r="Q255" s="963">
        <f t="shared" ca="1" si="59"/>
        <v>0</v>
      </c>
      <c r="R255" s="321" t="str">
        <f>IF(MID(S255,7,1)="D","  ","")</f>
        <v/>
      </c>
      <c r="S255" s="319" t="s">
        <v>229</v>
      </c>
    </row>
    <row r="256" spans="1:19" ht="11.25" hidden="1" customHeight="1" x14ac:dyDescent="0.35">
      <c r="A256" s="357" t="s">
        <v>524</v>
      </c>
      <c r="B256" s="376">
        <v>0</v>
      </c>
      <c r="C256" s="375">
        <f>C252</f>
        <v>0</v>
      </c>
      <c r="D256" s="1189">
        <v>1</v>
      </c>
      <c r="E256" s="1181" t="s">
        <v>525</v>
      </c>
      <c r="F256" s="370"/>
      <c r="G256" s="371"/>
      <c r="H256" s="371"/>
      <c r="I256" s="371"/>
      <c r="J256" s="371"/>
      <c r="K256" s="371"/>
      <c r="L256" s="371"/>
      <c r="M256" s="371"/>
      <c r="N256" s="371"/>
      <c r="O256" s="371"/>
      <c r="P256" s="371"/>
      <c r="Q256" s="368">
        <f ca="1">OFFSET(Q255,-6,0)</f>
        <v>0</v>
      </c>
      <c r="R256" s="321"/>
      <c r="S256" s="319" t="s">
        <v>232</v>
      </c>
    </row>
    <row r="257" spans="1:19" ht="11.25" hidden="1" customHeight="1" x14ac:dyDescent="0.35">
      <c r="A257" s="357" t="s">
        <v>526</v>
      </c>
      <c r="B257" s="376">
        <v>1</v>
      </c>
      <c r="C257" s="369" t="str">
        <f>""&amp;C253</f>
        <v/>
      </c>
      <c r="D257" s="1189">
        <v>1</v>
      </c>
      <c r="E257" s="1183" t="s">
        <v>527</v>
      </c>
      <c r="F257" s="370"/>
      <c r="G257" s="371"/>
      <c r="H257" s="371"/>
      <c r="I257" s="371"/>
      <c r="J257" s="371"/>
      <c r="K257" s="371"/>
      <c r="L257" s="371"/>
      <c r="M257" s="371"/>
      <c r="N257" s="371"/>
      <c r="O257" s="371"/>
      <c r="P257" s="371"/>
      <c r="Q257" s="371">
        <f ca="1">IF(NOT(ISBLANK(OFFSET(Q255,-6,0))),OFFSET(Q255,-6,0)-OFFSET(Q255,0,-1),0)</f>
        <v>0</v>
      </c>
      <c r="R257" s="321"/>
      <c r="S257" s="319" t="s">
        <v>232</v>
      </c>
    </row>
    <row r="258" spans="1:19" ht="11.25" hidden="1" customHeight="1" x14ac:dyDescent="0.35">
      <c r="A258" s="353">
        <v>0</v>
      </c>
      <c r="B258" s="354"/>
      <c r="C258" s="355"/>
      <c r="D258" s="1184"/>
      <c r="E258" s="1180" t="s">
        <v>528</v>
      </c>
      <c r="F258" s="317"/>
      <c r="G258" s="356"/>
      <c r="H258" s="356"/>
      <c r="I258" s="356"/>
      <c r="J258" s="356"/>
      <c r="K258" s="356"/>
      <c r="L258" s="356"/>
      <c r="M258" s="356"/>
      <c r="N258" s="356"/>
      <c r="O258" s="356"/>
      <c r="P258" s="356"/>
      <c r="Q258" s="356"/>
      <c r="R258" s="321"/>
      <c r="S258" s="319" t="s">
        <v>145</v>
      </c>
    </row>
    <row r="259" spans="1:19" ht="11.25" hidden="1" customHeight="1" x14ac:dyDescent="0.35">
      <c r="A259" s="357" t="s">
        <v>529</v>
      </c>
      <c r="B259" s="358">
        <v>25</v>
      </c>
      <c r="C259" s="359"/>
      <c r="D259" s="1185"/>
      <c r="E259" s="380" t="s">
        <v>530</v>
      </c>
      <c r="F259" s="959"/>
      <c r="G259" s="960"/>
      <c r="H259" s="960"/>
      <c r="I259" s="960"/>
      <c r="J259" s="960"/>
      <c r="K259" s="960"/>
      <c r="L259" s="960"/>
      <c r="M259" s="960"/>
      <c r="N259" s="960"/>
      <c r="O259" s="960"/>
      <c r="P259" s="960"/>
      <c r="Q259" s="957">
        <f ca="1">OFFSET(Q259,2,-1)</f>
        <v>0</v>
      </c>
      <c r="R259" s="321" t="str">
        <f>IF(MID(S259,7,1)="D","  ","")</f>
        <v/>
      </c>
      <c r="S259" s="319" t="s">
        <v>145</v>
      </c>
    </row>
    <row r="260" spans="1:19" ht="11.25" hidden="1" customHeight="1" x14ac:dyDescent="0.35">
      <c r="A260" s="357" t="s">
        <v>531</v>
      </c>
      <c r="B260" s="360" t="s">
        <v>77</v>
      </c>
      <c r="C260" s="361" t="str">
        <f ca="1">SpecsTxt!$G$12&amp;" "&amp;B260</f>
        <v>Depreciation (straight line)</v>
      </c>
      <c r="D260" s="1186"/>
      <c r="E260" s="385" t="s">
        <v>532</v>
      </c>
      <c r="F260" s="961"/>
      <c r="G260" s="962"/>
      <c r="H260" s="962"/>
      <c r="I260" s="962"/>
      <c r="J260" s="962"/>
      <c r="K260" s="962"/>
      <c r="L260" s="962"/>
      <c r="M260" s="962"/>
      <c r="N260" s="962"/>
      <c r="O260" s="962"/>
      <c r="P260" s="962"/>
      <c r="Q260" s="407"/>
      <c r="R260" s="321" t="str">
        <f>IF(MID(S260,7,1)="D","  ","")</f>
        <v/>
      </c>
      <c r="S260" s="319" t="s">
        <v>145</v>
      </c>
    </row>
    <row r="261" spans="1:19" ht="11.25" hidden="1" customHeight="1" x14ac:dyDescent="0.35">
      <c r="A261" s="357" t="s">
        <v>533</v>
      </c>
      <c r="B261" s="363">
        <v>1</v>
      </c>
      <c r="C261" s="364" t="s">
        <v>80</v>
      </c>
      <c r="D261" s="1187"/>
      <c r="E261" s="385" t="s">
        <v>534</v>
      </c>
      <c r="F261" s="961"/>
      <c r="G261" s="962">
        <f ca="1">IF(OR(AND(G$5=0,NoZeroCol=1),AND(G$5=-99,NoResCol=1)),IF(G$5=0,OFFSET(InvInfo,$B259,0),SUM(OFFSET(G261,0,-1))),IF(G$5=0,OFFSET(InvInfo,$B259,0),SUM(OFFSET(G261,0,-1)))-OFFSET(G261,-2,0)+OFFSET(G261,-1,0)+G263)+IF(OFFSET(InvInfo,$B259,3)=1,OFFSET($E$933,$B259-1,G$8)-OFFSET($E$933,$B259-1,G$8-1),0)+IF(AND(OFFSET(InvInfo,$B259,4)=1,G$5=OFFSET(InvInfo,$B259,5)),$C262,0)+G$1199</f>
        <v>0</v>
      </c>
      <c r="H261" s="962">
        <f t="shared" ref="H261:Q261" ca="1" si="60">IF(OR(AND(H$5=0,NoZeroCol=1),AND(H$5=-99,NoResCol=1)),IF(H$5=0,OFFSET(InvInfo,$B259,0),SUM(OFFSET(H261,0,-1))),IF(H$5=0,OFFSET(InvInfo,$B259,0),SUM(OFFSET(H261,0,-1)))-OFFSET(H261,-2,0)+OFFSET(H261,-1,0)+H263)+IF(OFFSET(InvInfo,$B259,3)=1,OFFSET($E$933,$B259-1,H$8)-OFFSET($E$933,$B259-1,H$8-1),0)+IF(AND(OFFSET(InvInfo,$B259,4)=1,H$5=OFFSET(InvInfo,$B259,5)),$C262,0)+H$1199</f>
        <v>0</v>
      </c>
      <c r="I261" s="962">
        <f t="shared" ca="1" si="60"/>
        <v>0</v>
      </c>
      <c r="J261" s="962">
        <f t="shared" ca="1" si="60"/>
        <v>0</v>
      </c>
      <c r="K261" s="962">
        <f t="shared" ca="1" si="60"/>
        <v>0</v>
      </c>
      <c r="L261" s="962">
        <f t="shared" ca="1" si="60"/>
        <v>0</v>
      </c>
      <c r="M261" s="962">
        <f t="shared" ca="1" si="60"/>
        <v>0</v>
      </c>
      <c r="N261" s="962">
        <f t="shared" ca="1" si="60"/>
        <v>0</v>
      </c>
      <c r="O261" s="962">
        <f t="shared" ca="1" si="60"/>
        <v>0</v>
      </c>
      <c r="P261" s="962">
        <f t="shared" ca="1" si="60"/>
        <v>0</v>
      </c>
      <c r="Q261" s="407">
        <f t="shared" ca="1" si="60"/>
        <v>0</v>
      </c>
      <c r="R261" s="321" t="str">
        <f>IF(MID(S261,7,1)="D","  ","")</f>
        <v/>
      </c>
      <c r="S261" s="319" t="s">
        <v>229</v>
      </c>
    </row>
    <row r="262" spans="1:19" ht="11.25" hidden="1" customHeight="1" x14ac:dyDescent="0.35">
      <c r="A262" s="357" t="s">
        <v>535</v>
      </c>
      <c r="B262" s="365">
        <v>1</v>
      </c>
      <c r="C262" s="366">
        <v>0</v>
      </c>
      <c r="D262" s="1188">
        <v>1</v>
      </c>
      <c r="E262" s="1181" t="s">
        <v>536</v>
      </c>
      <c r="F262" s="367"/>
      <c r="G262" s="368"/>
      <c r="H262" s="368"/>
      <c r="I262" s="368"/>
      <c r="J262" s="368"/>
      <c r="K262" s="368"/>
      <c r="L262" s="368"/>
      <c r="M262" s="368"/>
      <c r="N262" s="368"/>
      <c r="O262" s="368"/>
      <c r="P262" s="368"/>
      <c r="Q262" s="368">
        <f ca="1">OFFSET(Q261,-2,0)</f>
        <v>0</v>
      </c>
      <c r="R262" s="321"/>
      <c r="S262" s="319" t="s">
        <v>232</v>
      </c>
    </row>
    <row r="263" spans="1:19" ht="11.25" hidden="1" customHeight="1" x14ac:dyDescent="0.35">
      <c r="A263" s="357" t="s">
        <v>537</v>
      </c>
      <c r="B263" s="360">
        <v>1</v>
      </c>
      <c r="C263" s="369"/>
      <c r="D263" s="1189">
        <v>1</v>
      </c>
      <c r="E263" s="1182" t="s">
        <v>538</v>
      </c>
      <c r="F263" s="370"/>
      <c r="G263" s="371"/>
      <c r="H263" s="371"/>
      <c r="I263" s="371"/>
      <c r="J263" s="371"/>
      <c r="K263" s="371"/>
      <c r="L263" s="371"/>
      <c r="M263" s="371"/>
      <c r="N263" s="371"/>
      <c r="O263" s="371"/>
      <c r="P263" s="371"/>
      <c r="Q263" s="371">
        <f ca="1">IF(NOT(ISBLANK(OFFSET(Q261,-2,0))),OFFSET(Q261,-2,0)-OFFSET(Q261,0,-1),0)</f>
        <v>0</v>
      </c>
      <c r="R263" s="321"/>
      <c r="S263" s="319" t="s">
        <v>232</v>
      </c>
    </row>
    <row r="264" spans="1:19" ht="11.25" hidden="1" customHeight="1" x14ac:dyDescent="0.35">
      <c r="A264" s="357" t="s">
        <v>539</v>
      </c>
      <c r="B264" s="360" t="s">
        <v>77</v>
      </c>
      <c r="C264" s="372" t="str">
        <f>$C$16&amp;" "&amp;B264</f>
        <v>Imputed depreciation (straight line)</v>
      </c>
      <c r="D264" s="1186"/>
      <c r="E264" s="385" t="s">
        <v>540</v>
      </c>
      <c r="F264" s="961"/>
      <c r="G264" s="962"/>
      <c r="H264" s="962"/>
      <c r="I264" s="962"/>
      <c r="J264" s="962"/>
      <c r="K264" s="962"/>
      <c r="L264" s="962"/>
      <c r="M264" s="962"/>
      <c r="N264" s="962"/>
      <c r="O264" s="962"/>
      <c r="P264" s="962"/>
      <c r="Q264" s="407"/>
      <c r="R264" s="321" t="str">
        <f>IF(MID(S264,7,1)="D","  ","")</f>
        <v/>
      </c>
      <c r="S264" s="319" t="s">
        <v>145</v>
      </c>
    </row>
    <row r="265" spans="1:19" ht="11.25" hidden="1" customHeight="1" x14ac:dyDescent="0.35">
      <c r="A265" s="357" t="s">
        <v>541</v>
      </c>
      <c r="B265" s="363">
        <v>1</v>
      </c>
      <c r="C265" s="373" t="s">
        <v>90</v>
      </c>
      <c r="D265" s="1190"/>
      <c r="E265" s="385" t="s">
        <v>542</v>
      </c>
      <c r="F265" s="964"/>
      <c r="G265" s="965">
        <f ca="1">IF(OR(AND(G$5=0,NoZeroCol=1),AND(G$5=-99,NoResCol=1)),IF(G$5=0,OFFSET(InvInfo,$B259+30,0),SUM(OFFSET(G265,0,-1))),IF(G$5=0,OFFSET(InvInfo,$B259+30,0),SUM(OFFSET(G265,0,-1)))-OFFSET(G261,-2,0)+OFFSET(G265,-1,0)+G267)+IF(OFFSET(InvInfo,$B259+30,3)=1,OFFSET($E$963,$B259-1,G$8)-OFFSET($E$963,$B259-1,G$8-1),0)+IF(AND(OFFSET(InvInfo,$B259+30,4)=1,G$5=OFFSET(InvInfo,$B259+30,5)),$C266,0)+G$1199</f>
        <v>0</v>
      </c>
      <c r="H265" s="965">
        <f t="shared" ref="H265:Q265" ca="1" si="61">IF(OR(AND(H$5=0,NoZeroCol=1),AND(H$5=-99,NoResCol=1)),IF(H$5=0,OFFSET(InvInfo,$B259+30,0),SUM(OFFSET(H265,0,-1))),IF(H$5=0,OFFSET(InvInfo,$B259+30,0),SUM(OFFSET(H265,0,-1)))-OFFSET(H261,-2,0)+OFFSET(H265,-1,0)+H267)+IF(OFFSET(InvInfo,$B259+30,3)=1,OFFSET($E$963,$B259-1,H$8)-OFFSET($E$963,$B259-1,H$8-1),0)+IF(AND(OFFSET(InvInfo,$B259+30,4)=1,H$5=OFFSET(InvInfo,$B259+30,5)),$C266,0)+H$1199</f>
        <v>0</v>
      </c>
      <c r="I265" s="965">
        <f t="shared" ca="1" si="61"/>
        <v>0</v>
      </c>
      <c r="J265" s="965">
        <f t="shared" ca="1" si="61"/>
        <v>0</v>
      </c>
      <c r="K265" s="965">
        <f t="shared" ca="1" si="61"/>
        <v>0</v>
      </c>
      <c r="L265" s="965">
        <f t="shared" ca="1" si="61"/>
        <v>0</v>
      </c>
      <c r="M265" s="965">
        <f t="shared" ca="1" si="61"/>
        <v>0</v>
      </c>
      <c r="N265" s="965">
        <f t="shared" ca="1" si="61"/>
        <v>0</v>
      </c>
      <c r="O265" s="965">
        <f t="shared" ca="1" si="61"/>
        <v>0</v>
      </c>
      <c r="P265" s="965">
        <f t="shared" ca="1" si="61"/>
        <v>0</v>
      </c>
      <c r="Q265" s="963">
        <f t="shared" ca="1" si="61"/>
        <v>0</v>
      </c>
      <c r="R265" s="321" t="str">
        <f>IF(MID(S265,7,1)="D","  ","")</f>
        <v/>
      </c>
      <c r="S265" s="319" t="s">
        <v>229</v>
      </c>
    </row>
    <row r="266" spans="1:19" ht="11.25" hidden="1" customHeight="1" x14ac:dyDescent="0.35">
      <c r="A266" s="357" t="s">
        <v>543</v>
      </c>
      <c r="B266" s="376">
        <v>0</v>
      </c>
      <c r="C266" s="375">
        <f>C262</f>
        <v>0</v>
      </c>
      <c r="D266" s="1189">
        <v>1</v>
      </c>
      <c r="E266" s="1181" t="s">
        <v>544</v>
      </c>
      <c r="F266" s="370"/>
      <c r="G266" s="371"/>
      <c r="H266" s="371"/>
      <c r="I266" s="371"/>
      <c r="J266" s="371"/>
      <c r="K266" s="371"/>
      <c r="L266" s="371"/>
      <c r="M266" s="371"/>
      <c r="N266" s="371"/>
      <c r="O266" s="371"/>
      <c r="P266" s="371"/>
      <c r="Q266" s="368">
        <f ca="1">OFFSET(Q265,-6,0)</f>
        <v>0</v>
      </c>
      <c r="R266" s="321"/>
      <c r="S266" s="319" t="s">
        <v>232</v>
      </c>
    </row>
    <row r="267" spans="1:19" ht="11.25" hidden="1" customHeight="1" x14ac:dyDescent="0.35">
      <c r="A267" s="357" t="s">
        <v>545</v>
      </c>
      <c r="B267" s="376">
        <v>1</v>
      </c>
      <c r="C267" s="369" t="str">
        <f>""&amp;C263</f>
        <v/>
      </c>
      <c r="D267" s="1189">
        <v>1</v>
      </c>
      <c r="E267" s="1183" t="s">
        <v>546</v>
      </c>
      <c r="F267" s="370"/>
      <c r="G267" s="371"/>
      <c r="H267" s="371"/>
      <c r="I267" s="371"/>
      <c r="J267" s="371"/>
      <c r="K267" s="371"/>
      <c r="L267" s="371"/>
      <c r="M267" s="371"/>
      <c r="N267" s="371"/>
      <c r="O267" s="371"/>
      <c r="P267" s="371"/>
      <c r="Q267" s="371">
        <f ca="1">IF(NOT(ISBLANK(OFFSET(Q265,-6,0))),OFFSET(Q265,-6,0)-OFFSET(Q265,0,-1),0)</f>
        <v>0</v>
      </c>
      <c r="R267" s="321"/>
      <c r="S267" s="319" t="s">
        <v>232</v>
      </c>
    </row>
    <row r="268" spans="1:19" ht="11.25" hidden="1" customHeight="1" x14ac:dyDescent="0.35">
      <c r="A268" s="353">
        <v>0</v>
      </c>
      <c r="B268" s="354"/>
      <c r="C268" s="355"/>
      <c r="D268" s="1184"/>
      <c r="E268" s="1180" t="s">
        <v>547</v>
      </c>
      <c r="F268" s="317"/>
      <c r="G268" s="356"/>
      <c r="H268" s="356"/>
      <c r="I268" s="356"/>
      <c r="J268" s="356"/>
      <c r="K268" s="356"/>
      <c r="L268" s="356"/>
      <c r="M268" s="356"/>
      <c r="N268" s="356"/>
      <c r="O268" s="356"/>
      <c r="P268" s="356"/>
      <c r="Q268" s="356"/>
      <c r="R268" s="321"/>
      <c r="S268" s="319" t="s">
        <v>145</v>
      </c>
    </row>
    <row r="269" spans="1:19" ht="11.25" hidden="1" customHeight="1" x14ac:dyDescent="0.35">
      <c r="A269" s="357" t="s">
        <v>548</v>
      </c>
      <c r="B269" s="358">
        <v>26</v>
      </c>
      <c r="C269" s="359"/>
      <c r="D269" s="1185"/>
      <c r="E269" s="380" t="s">
        <v>549</v>
      </c>
      <c r="F269" s="959"/>
      <c r="G269" s="960"/>
      <c r="H269" s="960"/>
      <c r="I269" s="960"/>
      <c r="J269" s="960"/>
      <c r="K269" s="960"/>
      <c r="L269" s="960"/>
      <c r="M269" s="960"/>
      <c r="N269" s="960"/>
      <c r="O269" s="960"/>
      <c r="P269" s="960"/>
      <c r="Q269" s="957">
        <f ca="1">OFFSET(Q269,2,-1)</f>
        <v>0</v>
      </c>
      <c r="R269" s="321" t="str">
        <f>IF(MID(S269,7,1)="D","  ","")</f>
        <v/>
      </c>
      <c r="S269" s="319" t="s">
        <v>145</v>
      </c>
    </row>
    <row r="270" spans="1:19" ht="11.25" hidden="1" customHeight="1" x14ac:dyDescent="0.35">
      <c r="A270" s="357" t="s">
        <v>550</v>
      </c>
      <c r="B270" s="360" t="s">
        <v>77</v>
      </c>
      <c r="C270" s="361" t="str">
        <f ca="1">SpecsTxt!$G$12&amp;" "&amp;B270</f>
        <v>Depreciation (straight line)</v>
      </c>
      <c r="D270" s="1186"/>
      <c r="E270" s="385" t="s">
        <v>551</v>
      </c>
      <c r="F270" s="961"/>
      <c r="G270" s="962"/>
      <c r="H270" s="962"/>
      <c r="I270" s="962"/>
      <c r="J270" s="962"/>
      <c r="K270" s="962"/>
      <c r="L270" s="962"/>
      <c r="M270" s="962"/>
      <c r="N270" s="962"/>
      <c r="O270" s="962"/>
      <c r="P270" s="962"/>
      <c r="Q270" s="407"/>
      <c r="R270" s="321" t="str">
        <f>IF(MID(S270,7,1)="D","  ","")</f>
        <v/>
      </c>
      <c r="S270" s="319" t="s">
        <v>145</v>
      </c>
    </row>
    <row r="271" spans="1:19" ht="11.25" hidden="1" customHeight="1" x14ac:dyDescent="0.35">
      <c r="A271" s="357" t="s">
        <v>552</v>
      </c>
      <c r="B271" s="363">
        <v>1</v>
      </c>
      <c r="C271" s="364" t="s">
        <v>80</v>
      </c>
      <c r="D271" s="1187"/>
      <c r="E271" s="385" t="s">
        <v>553</v>
      </c>
      <c r="F271" s="961"/>
      <c r="G271" s="962">
        <f ca="1">IF(OR(AND(G$5=0,NoZeroCol=1),AND(G$5=-99,NoResCol=1)),IF(G$5=0,OFFSET(InvInfo,$B269,0),SUM(OFFSET(G271,0,-1))),IF(G$5=0,OFFSET(InvInfo,$B269,0),SUM(OFFSET(G271,0,-1)))-OFFSET(G271,-2,0)+OFFSET(G271,-1,0)+G273)+IF(OFFSET(InvInfo,$B269,3)=1,OFFSET($E$933,$B269-1,G$8)-OFFSET($E$933,$B269-1,G$8-1),0)+IF(AND(OFFSET(InvInfo,$B269,4)=1,G$5=OFFSET(InvInfo,$B269,5)),$C272,0)+G$1200</f>
        <v>0</v>
      </c>
      <c r="H271" s="962">
        <f t="shared" ref="H271:Q271" ca="1" si="62">IF(OR(AND(H$5=0,NoZeroCol=1),AND(H$5=-99,NoResCol=1)),IF(H$5=0,OFFSET(InvInfo,$B269,0),SUM(OFFSET(H271,0,-1))),IF(H$5=0,OFFSET(InvInfo,$B269,0),SUM(OFFSET(H271,0,-1)))-OFFSET(H271,-2,0)+OFFSET(H271,-1,0)+H273)+IF(OFFSET(InvInfo,$B269,3)=1,OFFSET($E$933,$B269-1,H$8)-OFFSET($E$933,$B269-1,H$8-1),0)+IF(AND(OFFSET(InvInfo,$B269,4)=1,H$5=OFFSET(InvInfo,$B269,5)),$C272,0)+H$1200</f>
        <v>0</v>
      </c>
      <c r="I271" s="962">
        <f t="shared" ca="1" si="62"/>
        <v>0</v>
      </c>
      <c r="J271" s="962">
        <f t="shared" ca="1" si="62"/>
        <v>0</v>
      </c>
      <c r="K271" s="962">
        <f t="shared" ca="1" si="62"/>
        <v>0</v>
      </c>
      <c r="L271" s="962">
        <f t="shared" ca="1" si="62"/>
        <v>0</v>
      </c>
      <c r="M271" s="962">
        <f t="shared" ca="1" si="62"/>
        <v>0</v>
      </c>
      <c r="N271" s="962">
        <f t="shared" ca="1" si="62"/>
        <v>0</v>
      </c>
      <c r="O271" s="962">
        <f t="shared" ca="1" si="62"/>
        <v>0</v>
      </c>
      <c r="P271" s="962">
        <f t="shared" ca="1" si="62"/>
        <v>0</v>
      </c>
      <c r="Q271" s="407">
        <f t="shared" ca="1" si="62"/>
        <v>0</v>
      </c>
      <c r="R271" s="321" t="str">
        <f>IF(MID(S271,7,1)="D","  ","")</f>
        <v/>
      </c>
      <c r="S271" s="319" t="s">
        <v>229</v>
      </c>
    </row>
    <row r="272" spans="1:19" ht="11.25" hidden="1" customHeight="1" x14ac:dyDescent="0.35">
      <c r="A272" s="357" t="s">
        <v>554</v>
      </c>
      <c r="B272" s="365">
        <v>1</v>
      </c>
      <c r="C272" s="366">
        <v>0</v>
      </c>
      <c r="D272" s="1188">
        <v>1</v>
      </c>
      <c r="E272" s="1181" t="s">
        <v>555</v>
      </c>
      <c r="F272" s="367"/>
      <c r="G272" s="368"/>
      <c r="H272" s="368"/>
      <c r="I272" s="368"/>
      <c r="J272" s="368"/>
      <c r="K272" s="368"/>
      <c r="L272" s="368"/>
      <c r="M272" s="368"/>
      <c r="N272" s="368"/>
      <c r="O272" s="368"/>
      <c r="P272" s="368"/>
      <c r="Q272" s="368">
        <f ca="1">OFFSET(Q271,-2,0)</f>
        <v>0</v>
      </c>
      <c r="R272" s="321"/>
      <c r="S272" s="319" t="s">
        <v>232</v>
      </c>
    </row>
    <row r="273" spans="1:19" ht="11.25" hidden="1" customHeight="1" x14ac:dyDescent="0.35">
      <c r="A273" s="357" t="s">
        <v>556</v>
      </c>
      <c r="B273" s="360">
        <v>1</v>
      </c>
      <c r="C273" s="369"/>
      <c r="D273" s="1189">
        <v>1</v>
      </c>
      <c r="E273" s="1182" t="s">
        <v>557</v>
      </c>
      <c r="F273" s="370"/>
      <c r="G273" s="371"/>
      <c r="H273" s="371"/>
      <c r="I273" s="371"/>
      <c r="J273" s="371"/>
      <c r="K273" s="371"/>
      <c r="L273" s="371"/>
      <c r="M273" s="371"/>
      <c r="N273" s="371"/>
      <c r="O273" s="371"/>
      <c r="P273" s="371"/>
      <c r="Q273" s="371">
        <f ca="1">IF(NOT(ISBLANK(OFFSET(Q271,-2,0))),OFFSET(Q271,-2,0)-OFFSET(Q271,0,-1),0)</f>
        <v>0</v>
      </c>
      <c r="R273" s="321"/>
      <c r="S273" s="319" t="s">
        <v>232</v>
      </c>
    </row>
    <row r="274" spans="1:19" ht="11.25" hidden="1" customHeight="1" x14ac:dyDescent="0.35">
      <c r="A274" s="357" t="s">
        <v>558</v>
      </c>
      <c r="B274" s="360" t="s">
        <v>77</v>
      </c>
      <c r="C274" s="372" t="str">
        <f>$C$16&amp;" "&amp;B274</f>
        <v>Imputed depreciation (straight line)</v>
      </c>
      <c r="D274" s="1186"/>
      <c r="E274" s="385" t="s">
        <v>559</v>
      </c>
      <c r="F274" s="961"/>
      <c r="G274" s="962"/>
      <c r="H274" s="962"/>
      <c r="I274" s="962"/>
      <c r="J274" s="962"/>
      <c r="K274" s="962"/>
      <c r="L274" s="962"/>
      <c r="M274" s="962"/>
      <c r="N274" s="962"/>
      <c r="O274" s="962"/>
      <c r="P274" s="962"/>
      <c r="Q274" s="407"/>
      <c r="R274" s="321" t="str">
        <f>IF(MID(S274,7,1)="D","  ","")</f>
        <v/>
      </c>
      <c r="S274" s="319" t="s">
        <v>145</v>
      </c>
    </row>
    <row r="275" spans="1:19" ht="11.25" hidden="1" customHeight="1" x14ac:dyDescent="0.35">
      <c r="A275" s="357" t="s">
        <v>560</v>
      </c>
      <c r="B275" s="363">
        <v>1</v>
      </c>
      <c r="C275" s="373" t="s">
        <v>90</v>
      </c>
      <c r="D275" s="1190"/>
      <c r="E275" s="385" t="s">
        <v>561</v>
      </c>
      <c r="F275" s="964"/>
      <c r="G275" s="965">
        <f ca="1">IF(OR(AND(G$5=0,NoZeroCol=1),AND(G$5=-99,NoResCol=1)),IF(G$5=0,OFFSET(InvInfo,$B269+30,0),SUM(OFFSET(G275,0,-1))),IF(G$5=0,OFFSET(InvInfo,$B269+30,0),SUM(OFFSET(G275,0,-1)))-OFFSET(G271,-2,0)+OFFSET(G275,-1,0)+G277)+IF(OFFSET(InvInfo,$B269+30,3)=1,OFFSET($E$963,$B269-1,G$8)-OFFSET($E$963,$B269-1,G$8-1),0)+IF(AND(OFFSET(InvInfo,$B269+30,4)=1,G$5=OFFSET(InvInfo,$B269+30,5)),$C276,0)+G$1200</f>
        <v>0</v>
      </c>
      <c r="H275" s="965">
        <f t="shared" ref="H275:Q275" ca="1" si="63">IF(OR(AND(H$5=0,NoZeroCol=1),AND(H$5=-99,NoResCol=1)),IF(H$5=0,OFFSET(InvInfo,$B269+30,0),SUM(OFFSET(H275,0,-1))),IF(H$5=0,OFFSET(InvInfo,$B269+30,0),SUM(OFFSET(H275,0,-1)))-OFFSET(H271,-2,0)+OFFSET(H275,-1,0)+H277)+IF(OFFSET(InvInfo,$B269+30,3)=1,OFFSET($E$963,$B269-1,H$8)-OFFSET($E$963,$B269-1,H$8-1),0)+IF(AND(OFFSET(InvInfo,$B269+30,4)=1,H$5=OFFSET(InvInfo,$B269+30,5)),$C276,0)+H$1200</f>
        <v>0</v>
      </c>
      <c r="I275" s="965">
        <f t="shared" ca="1" si="63"/>
        <v>0</v>
      </c>
      <c r="J275" s="965">
        <f t="shared" ca="1" si="63"/>
        <v>0</v>
      </c>
      <c r="K275" s="965">
        <f t="shared" ca="1" si="63"/>
        <v>0</v>
      </c>
      <c r="L275" s="965">
        <f t="shared" ca="1" si="63"/>
        <v>0</v>
      </c>
      <c r="M275" s="965">
        <f t="shared" ca="1" si="63"/>
        <v>0</v>
      </c>
      <c r="N275" s="965">
        <f t="shared" ca="1" si="63"/>
        <v>0</v>
      </c>
      <c r="O275" s="965">
        <f t="shared" ca="1" si="63"/>
        <v>0</v>
      </c>
      <c r="P275" s="965">
        <f t="shared" ca="1" si="63"/>
        <v>0</v>
      </c>
      <c r="Q275" s="963">
        <f t="shared" ca="1" si="63"/>
        <v>0</v>
      </c>
      <c r="R275" s="321" t="str">
        <f>IF(MID(S275,7,1)="D","  ","")</f>
        <v/>
      </c>
      <c r="S275" s="319" t="s">
        <v>229</v>
      </c>
    </row>
    <row r="276" spans="1:19" ht="11.25" hidden="1" customHeight="1" x14ac:dyDescent="0.35">
      <c r="A276" s="357" t="s">
        <v>562</v>
      </c>
      <c r="B276" s="376">
        <v>0</v>
      </c>
      <c r="C276" s="375">
        <f>C272</f>
        <v>0</v>
      </c>
      <c r="D276" s="1189">
        <v>1</v>
      </c>
      <c r="E276" s="1181" t="s">
        <v>563</v>
      </c>
      <c r="F276" s="370"/>
      <c r="G276" s="371"/>
      <c r="H276" s="371"/>
      <c r="I276" s="371"/>
      <c r="J276" s="371"/>
      <c r="K276" s="371"/>
      <c r="L276" s="371"/>
      <c r="M276" s="371"/>
      <c r="N276" s="371"/>
      <c r="O276" s="371"/>
      <c r="P276" s="371"/>
      <c r="Q276" s="368">
        <f ca="1">OFFSET(Q275,-6,0)</f>
        <v>0</v>
      </c>
      <c r="R276" s="321"/>
      <c r="S276" s="319" t="s">
        <v>232</v>
      </c>
    </row>
    <row r="277" spans="1:19" ht="11.25" hidden="1" customHeight="1" x14ac:dyDescent="0.35">
      <c r="A277" s="357" t="s">
        <v>564</v>
      </c>
      <c r="B277" s="376">
        <v>1</v>
      </c>
      <c r="C277" s="369" t="str">
        <f>""&amp;C273</f>
        <v/>
      </c>
      <c r="D277" s="1189">
        <v>1</v>
      </c>
      <c r="E277" s="1183" t="s">
        <v>565</v>
      </c>
      <c r="F277" s="370"/>
      <c r="G277" s="371"/>
      <c r="H277" s="371"/>
      <c r="I277" s="371"/>
      <c r="J277" s="371"/>
      <c r="K277" s="371"/>
      <c r="L277" s="371"/>
      <c r="M277" s="371"/>
      <c r="N277" s="371"/>
      <c r="O277" s="371"/>
      <c r="P277" s="371"/>
      <c r="Q277" s="371">
        <f ca="1">IF(NOT(ISBLANK(OFFSET(Q275,-6,0))),OFFSET(Q275,-6,0)-OFFSET(Q275,0,-1),0)</f>
        <v>0</v>
      </c>
      <c r="R277" s="321"/>
      <c r="S277" s="319" t="s">
        <v>232</v>
      </c>
    </row>
    <row r="278" spans="1:19" ht="11.25" hidden="1" customHeight="1" x14ac:dyDescent="0.35">
      <c r="A278" s="353">
        <v>0</v>
      </c>
      <c r="B278" s="354"/>
      <c r="C278" s="355"/>
      <c r="D278" s="1184"/>
      <c r="E278" s="1180" t="s">
        <v>566</v>
      </c>
      <c r="F278" s="317"/>
      <c r="G278" s="356"/>
      <c r="H278" s="356"/>
      <c r="I278" s="356"/>
      <c r="J278" s="356"/>
      <c r="K278" s="356"/>
      <c r="L278" s="356"/>
      <c r="M278" s="356"/>
      <c r="N278" s="356"/>
      <c r="O278" s="356"/>
      <c r="P278" s="356"/>
      <c r="Q278" s="356"/>
      <c r="R278" s="321"/>
      <c r="S278" s="319" t="s">
        <v>145</v>
      </c>
    </row>
    <row r="279" spans="1:19" ht="11.25" hidden="1" customHeight="1" x14ac:dyDescent="0.35">
      <c r="A279" s="357" t="s">
        <v>567</v>
      </c>
      <c r="B279" s="358">
        <v>27</v>
      </c>
      <c r="C279" s="359"/>
      <c r="D279" s="1185"/>
      <c r="E279" s="380" t="s">
        <v>568</v>
      </c>
      <c r="F279" s="959"/>
      <c r="G279" s="960"/>
      <c r="H279" s="960"/>
      <c r="I279" s="960"/>
      <c r="J279" s="960"/>
      <c r="K279" s="960"/>
      <c r="L279" s="960"/>
      <c r="M279" s="960"/>
      <c r="N279" s="960"/>
      <c r="O279" s="960"/>
      <c r="P279" s="960"/>
      <c r="Q279" s="957">
        <f ca="1">OFFSET(Q279,2,-1)</f>
        <v>0</v>
      </c>
      <c r="R279" s="321" t="str">
        <f>IF(MID(S279,7,1)="D","  ","")</f>
        <v/>
      </c>
      <c r="S279" s="319" t="s">
        <v>145</v>
      </c>
    </row>
    <row r="280" spans="1:19" ht="11.25" hidden="1" customHeight="1" x14ac:dyDescent="0.35">
      <c r="A280" s="357" t="s">
        <v>569</v>
      </c>
      <c r="B280" s="360" t="s">
        <v>77</v>
      </c>
      <c r="C280" s="361" t="str">
        <f ca="1">SpecsTxt!$G$12&amp;" "&amp;B280</f>
        <v>Depreciation (straight line)</v>
      </c>
      <c r="D280" s="1186"/>
      <c r="E280" s="385" t="s">
        <v>570</v>
      </c>
      <c r="F280" s="961"/>
      <c r="G280" s="962"/>
      <c r="H280" s="962"/>
      <c r="I280" s="962"/>
      <c r="J280" s="962"/>
      <c r="K280" s="962"/>
      <c r="L280" s="962"/>
      <c r="M280" s="962"/>
      <c r="N280" s="962"/>
      <c r="O280" s="962"/>
      <c r="P280" s="962"/>
      <c r="Q280" s="407"/>
      <c r="R280" s="321" t="str">
        <f>IF(MID(S280,7,1)="D","  ","")</f>
        <v/>
      </c>
      <c r="S280" s="319" t="s">
        <v>145</v>
      </c>
    </row>
    <row r="281" spans="1:19" ht="11.25" hidden="1" customHeight="1" x14ac:dyDescent="0.35">
      <c r="A281" s="357" t="s">
        <v>571</v>
      </c>
      <c r="B281" s="363">
        <v>1</v>
      </c>
      <c r="C281" s="364" t="s">
        <v>80</v>
      </c>
      <c r="D281" s="1187"/>
      <c r="E281" s="385" t="s">
        <v>572</v>
      </c>
      <c r="F281" s="961"/>
      <c r="G281" s="962">
        <f ca="1">IF(OR(AND(G$5=0,NoZeroCol=1),AND(G$5=-99,NoResCol=1)),IF(G$5=0,OFFSET(InvInfo,$B279,0),SUM(OFFSET(G281,0,-1))),IF(G$5=0,OFFSET(InvInfo,$B279,0),SUM(OFFSET(G281,0,-1)))-OFFSET(G281,-2,0)+OFFSET(G281,-1,0)+G283)+IF(OFFSET(InvInfo,$B279,3)=1,OFFSET($E$933,$B279-1,G$8)-OFFSET($E$933,$B279-1,G$8-1),0)+IF(AND(OFFSET(InvInfo,$B279,4)=1,G$5=OFFSET(InvInfo,$B279,5)),$C282,0)+G$1201</f>
        <v>0</v>
      </c>
      <c r="H281" s="962">
        <f t="shared" ref="H281:Q281" ca="1" si="64">IF(OR(AND(H$5=0,NoZeroCol=1),AND(H$5=-99,NoResCol=1)),IF(H$5=0,OFFSET(InvInfo,$B279,0),SUM(OFFSET(H281,0,-1))),IF(H$5=0,OFFSET(InvInfo,$B279,0),SUM(OFFSET(H281,0,-1)))-OFFSET(H281,-2,0)+OFFSET(H281,-1,0)+H283)+IF(OFFSET(InvInfo,$B279,3)=1,OFFSET($E$933,$B279-1,H$8)-OFFSET($E$933,$B279-1,H$8-1),0)+IF(AND(OFFSET(InvInfo,$B279,4)=1,H$5=OFFSET(InvInfo,$B279,5)),$C282,0)+H$1201</f>
        <v>0</v>
      </c>
      <c r="I281" s="962">
        <f t="shared" ca="1" si="64"/>
        <v>0</v>
      </c>
      <c r="J281" s="962">
        <f t="shared" ca="1" si="64"/>
        <v>0</v>
      </c>
      <c r="K281" s="962">
        <f t="shared" ca="1" si="64"/>
        <v>0</v>
      </c>
      <c r="L281" s="962">
        <f t="shared" ca="1" si="64"/>
        <v>0</v>
      </c>
      <c r="M281" s="962">
        <f t="shared" ca="1" si="64"/>
        <v>0</v>
      </c>
      <c r="N281" s="962">
        <f t="shared" ca="1" si="64"/>
        <v>0</v>
      </c>
      <c r="O281" s="962">
        <f t="shared" ca="1" si="64"/>
        <v>0</v>
      </c>
      <c r="P281" s="962">
        <f t="shared" ca="1" si="64"/>
        <v>0</v>
      </c>
      <c r="Q281" s="407">
        <f t="shared" ca="1" si="64"/>
        <v>0</v>
      </c>
      <c r="R281" s="321" t="str">
        <f>IF(MID(S281,7,1)="D","  ","")</f>
        <v/>
      </c>
      <c r="S281" s="319" t="s">
        <v>229</v>
      </c>
    </row>
    <row r="282" spans="1:19" ht="11.25" hidden="1" customHeight="1" x14ac:dyDescent="0.35">
      <c r="A282" s="357" t="s">
        <v>573</v>
      </c>
      <c r="B282" s="365">
        <v>1</v>
      </c>
      <c r="C282" s="366">
        <v>0</v>
      </c>
      <c r="D282" s="1188">
        <v>1</v>
      </c>
      <c r="E282" s="1181" t="s">
        <v>574</v>
      </c>
      <c r="F282" s="367"/>
      <c r="G282" s="368"/>
      <c r="H282" s="368"/>
      <c r="I282" s="368"/>
      <c r="J282" s="368"/>
      <c r="K282" s="368"/>
      <c r="L282" s="368"/>
      <c r="M282" s="368"/>
      <c r="N282" s="368"/>
      <c r="O282" s="368"/>
      <c r="P282" s="368"/>
      <c r="Q282" s="368">
        <f ca="1">OFFSET(Q281,-2,0)</f>
        <v>0</v>
      </c>
      <c r="R282" s="321"/>
      <c r="S282" s="319" t="s">
        <v>232</v>
      </c>
    </row>
    <row r="283" spans="1:19" ht="11.25" hidden="1" customHeight="1" x14ac:dyDescent="0.35">
      <c r="A283" s="357" t="s">
        <v>575</v>
      </c>
      <c r="B283" s="360">
        <v>1</v>
      </c>
      <c r="C283" s="369"/>
      <c r="D283" s="1189">
        <v>1</v>
      </c>
      <c r="E283" s="1182" t="s">
        <v>576</v>
      </c>
      <c r="F283" s="370"/>
      <c r="G283" s="371"/>
      <c r="H283" s="371"/>
      <c r="I283" s="371"/>
      <c r="J283" s="371"/>
      <c r="K283" s="371"/>
      <c r="L283" s="371"/>
      <c r="M283" s="371"/>
      <c r="N283" s="371"/>
      <c r="O283" s="371"/>
      <c r="P283" s="371"/>
      <c r="Q283" s="371">
        <f ca="1">IF(NOT(ISBLANK(OFFSET(Q281,-2,0))),OFFSET(Q281,-2,0)-OFFSET(Q281,0,-1),0)</f>
        <v>0</v>
      </c>
      <c r="R283" s="321"/>
      <c r="S283" s="319" t="s">
        <v>232</v>
      </c>
    </row>
    <row r="284" spans="1:19" ht="11.25" hidden="1" customHeight="1" x14ac:dyDescent="0.35">
      <c r="A284" s="357" t="s">
        <v>577</v>
      </c>
      <c r="B284" s="360" t="s">
        <v>77</v>
      </c>
      <c r="C284" s="372" t="str">
        <f>$C$16&amp;" "&amp;B284</f>
        <v>Imputed depreciation (straight line)</v>
      </c>
      <c r="D284" s="1186"/>
      <c r="E284" s="385" t="s">
        <v>578</v>
      </c>
      <c r="F284" s="961"/>
      <c r="G284" s="962"/>
      <c r="H284" s="962"/>
      <c r="I284" s="962"/>
      <c r="J284" s="962"/>
      <c r="K284" s="962"/>
      <c r="L284" s="962"/>
      <c r="M284" s="962"/>
      <c r="N284" s="962"/>
      <c r="O284" s="962"/>
      <c r="P284" s="962"/>
      <c r="Q284" s="407"/>
      <c r="R284" s="321" t="str">
        <f>IF(MID(S284,7,1)="D","  ","")</f>
        <v/>
      </c>
      <c r="S284" s="319" t="s">
        <v>145</v>
      </c>
    </row>
    <row r="285" spans="1:19" ht="11.25" hidden="1" customHeight="1" x14ac:dyDescent="0.35">
      <c r="A285" s="357" t="s">
        <v>579</v>
      </c>
      <c r="B285" s="363">
        <v>1</v>
      </c>
      <c r="C285" s="373" t="s">
        <v>90</v>
      </c>
      <c r="D285" s="1190"/>
      <c r="E285" s="385" t="s">
        <v>580</v>
      </c>
      <c r="F285" s="964"/>
      <c r="G285" s="965">
        <f ca="1">IF(OR(AND(G$5=0,NoZeroCol=1),AND(G$5=-99,NoResCol=1)),IF(G$5=0,OFFSET(InvInfo,$B279+30,0),SUM(OFFSET(G285,0,-1))),IF(G$5=0,OFFSET(InvInfo,$B279+30,0),SUM(OFFSET(G285,0,-1)))-OFFSET(G281,-2,0)+OFFSET(G285,-1,0)+G287)+IF(OFFSET(InvInfo,$B279+30,3)=1,OFFSET($E$963,$B279-1,G$8)-OFFSET($E$963,$B279-1,G$8-1),0)+IF(AND(OFFSET(InvInfo,$B279+30,4)=1,G$5=OFFSET(InvInfo,$B279+30,5)),$C286,0)+G$1201</f>
        <v>0</v>
      </c>
      <c r="H285" s="965">
        <f t="shared" ref="H285:Q285" ca="1" si="65">IF(OR(AND(H$5=0,NoZeroCol=1),AND(H$5=-99,NoResCol=1)),IF(H$5=0,OFFSET(InvInfo,$B279+30,0),SUM(OFFSET(H285,0,-1))),IF(H$5=0,OFFSET(InvInfo,$B279+30,0),SUM(OFFSET(H285,0,-1)))-OFFSET(H281,-2,0)+OFFSET(H285,-1,0)+H287)+IF(OFFSET(InvInfo,$B279+30,3)=1,OFFSET($E$963,$B279-1,H$8)-OFFSET($E$963,$B279-1,H$8-1),0)+IF(AND(OFFSET(InvInfo,$B279+30,4)=1,H$5=OFFSET(InvInfo,$B279+30,5)),$C286,0)+H$1201</f>
        <v>0</v>
      </c>
      <c r="I285" s="965">
        <f t="shared" ca="1" si="65"/>
        <v>0</v>
      </c>
      <c r="J285" s="965">
        <f t="shared" ca="1" si="65"/>
        <v>0</v>
      </c>
      <c r="K285" s="965">
        <f t="shared" ca="1" si="65"/>
        <v>0</v>
      </c>
      <c r="L285" s="965">
        <f t="shared" ca="1" si="65"/>
        <v>0</v>
      </c>
      <c r="M285" s="965">
        <f t="shared" ca="1" si="65"/>
        <v>0</v>
      </c>
      <c r="N285" s="965">
        <f t="shared" ca="1" si="65"/>
        <v>0</v>
      </c>
      <c r="O285" s="965">
        <f t="shared" ca="1" si="65"/>
        <v>0</v>
      </c>
      <c r="P285" s="965">
        <f t="shared" ca="1" si="65"/>
        <v>0</v>
      </c>
      <c r="Q285" s="963">
        <f t="shared" ca="1" si="65"/>
        <v>0</v>
      </c>
      <c r="R285" s="321" t="str">
        <f>IF(MID(S285,7,1)="D","  ","")</f>
        <v/>
      </c>
      <c r="S285" s="319" t="s">
        <v>229</v>
      </c>
    </row>
    <row r="286" spans="1:19" ht="11.25" hidden="1" customHeight="1" x14ac:dyDescent="0.35">
      <c r="A286" s="357" t="s">
        <v>581</v>
      </c>
      <c r="B286" s="376">
        <v>0</v>
      </c>
      <c r="C286" s="375">
        <f>C282</f>
        <v>0</v>
      </c>
      <c r="D286" s="1189">
        <v>1</v>
      </c>
      <c r="E286" s="1181" t="s">
        <v>582</v>
      </c>
      <c r="F286" s="370"/>
      <c r="G286" s="371"/>
      <c r="H286" s="371"/>
      <c r="I286" s="371"/>
      <c r="J286" s="371"/>
      <c r="K286" s="371"/>
      <c r="L286" s="371"/>
      <c r="M286" s="371"/>
      <c r="N286" s="371"/>
      <c r="O286" s="371"/>
      <c r="P286" s="371"/>
      <c r="Q286" s="368">
        <f ca="1">OFFSET(Q285,-6,0)</f>
        <v>0</v>
      </c>
      <c r="R286" s="321"/>
      <c r="S286" s="319" t="s">
        <v>232</v>
      </c>
    </row>
    <row r="287" spans="1:19" ht="11.25" hidden="1" customHeight="1" x14ac:dyDescent="0.35">
      <c r="A287" s="357" t="s">
        <v>583</v>
      </c>
      <c r="B287" s="376">
        <v>1</v>
      </c>
      <c r="C287" s="369" t="str">
        <f>""&amp;C283</f>
        <v/>
      </c>
      <c r="D287" s="1189">
        <v>1</v>
      </c>
      <c r="E287" s="1183" t="s">
        <v>584</v>
      </c>
      <c r="F287" s="370"/>
      <c r="G287" s="371"/>
      <c r="H287" s="371"/>
      <c r="I287" s="371"/>
      <c r="J287" s="371"/>
      <c r="K287" s="371"/>
      <c r="L287" s="371"/>
      <c r="M287" s="371"/>
      <c r="N287" s="371"/>
      <c r="O287" s="371"/>
      <c r="P287" s="371"/>
      <c r="Q287" s="371">
        <f ca="1">IF(NOT(ISBLANK(OFFSET(Q285,-6,0))),OFFSET(Q285,-6,0)-OFFSET(Q285,0,-1),0)</f>
        <v>0</v>
      </c>
      <c r="R287" s="321"/>
      <c r="S287" s="319" t="s">
        <v>232</v>
      </c>
    </row>
    <row r="288" spans="1:19" ht="11.25" hidden="1" customHeight="1" x14ac:dyDescent="0.35">
      <c r="A288" s="353">
        <v>0</v>
      </c>
      <c r="B288" s="354"/>
      <c r="C288" s="355"/>
      <c r="D288" s="1184"/>
      <c r="E288" s="1180" t="s">
        <v>585</v>
      </c>
      <c r="F288" s="317"/>
      <c r="G288" s="356"/>
      <c r="H288" s="356"/>
      <c r="I288" s="356"/>
      <c r="J288" s="356"/>
      <c r="K288" s="356"/>
      <c r="L288" s="356"/>
      <c r="M288" s="356"/>
      <c r="N288" s="356"/>
      <c r="O288" s="356"/>
      <c r="P288" s="356"/>
      <c r="Q288" s="356"/>
      <c r="R288" s="321"/>
      <c r="S288" s="319" t="s">
        <v>145</v>
      </c>
    </row>
    <row r="289" spans="1:19" ht="11.25" hidden="1" customHeight="1" x14ac:dyDescent="0.35">
      <c r="A289" s="357" t="s">
        <v>586</v>
      </c>
      <c r="B289" s="358">
        <v>28</v>
      </c>
      <c r="C289" s="359"/>
      <c r="D289" s="1185"/>
      <c r="E289" s="380" t="s">
        <v>587</v>
      </c>
      <c r="F289" s="959"/>
      <c r="G289" s="960"/>
      <c r="H289" s="960"/>
      <c r="I289" s="960"/>
      <c r="J289" s="960"/>
      <c r="K289" s="960"/>
      <c r="L289" s="960"/>
      <c r="M289" s="960"/>
      <c r="N289" s="960"/>
      <c r="O289" s="960"/>
      <c r="P289" s="960"/>
      <c r="Q289" s="957">
        <f ca="1">OFFSET(Q289,2,-1)</f>
        <v>0</v>
      </c>
      <c r="R289" s="321" t="str">
        <f>IF(MID(S289,7,1)="D","  ","")</f>
        <v/>
      </c>
      <c r="S289" s="319" t="s">
        <v>145</v>
      </c>
    </row>
    <row r="290" spans="1:19" ht="11.25" hidden="1" customHeight="1" x14ac:dyDescent="0.35">
      <c r="A290" s="357" t="s">
        <v>588</v>
      </c>
      <c r="B290" s="360" t="s">
        <v>77</v>
      </c>
      <c r="C290" s="361" t="str">
        <f ca="1">SpecsTxt!$G$12&amp;" "&amp;B290</f>
        <v>Depreciation (straight line)</v>
      </c>
      <c r="D290" s="1186"/>
      <c r="E290" s="385" t="s">
        <v>589</v>
      </c>
      <c r="F290" s="961"/>
      <c r="G290" s="962"/>
      <c r="H290" s="962"/>
      <c r="I290" s="962"/>
      <c r="J290" s="962"/>
      <c r="K290" s="962"/>
      <c r="L290" s="962"/>
      <c r="M290" s="962"/>
      <c r="N290" s="962"/>
      <c r="O290" s="962"/>
      <c r="P290" s="962"/>
      <c r="Q290" s="407"/>
      <c r="R290" s="321" t="str">
        <f>IF(MID(S290,7,1)="D","  ","")</f>
        <v/>
      </c>
      <c r="S290" s="319" t="s">
        <v>145</v>
      </c>
    </row>
    <row r="291" spans="1:19" ht="11.25" hidden="1" customHeight="1" x14ac:dyDescent="0.35">
      <c r="A291" s="357" t="s">
        <v>590</v>
      </c>
      <c r="B291" s="363">
        <v>1</v>
      </c>
      <c r="C291" s="364" t="s">
        <v>80</v>
      </c>
      <c r="D291" s="1187"/>
      <c r="E291" s="385" t="s">
        <v>591</v>
      </c>
      <c r="F291" s="961"/>
      <c r="G291" s="962">
        <f ca="1">IF(OR(AND(G$5=0,NoZeroCol=1),AND(G$5=-99,NoResCol=1)),IF(G$5=0,OFFSET(InvInfo,$B289,0),SUM(OFFSET(G291,0,-1))),IF(G$5=0,OFFSET(InvInfo,$B289,0),SUM(OFFSET(G291,0,-1)))-OFFSET(G291,-2,0)+OFFSET(G291,-1,0)+G293)+IF(OFFSET(InvInfo,$B289,3)=1,OFFSET($E$933,$B289-1,G$8)-OFFSET($E$933,$B289-1,G$8-1),0)+IF(AND(OFFSET(InvInfo,$B289,4)=1,G$5=OFFSET(InvInfo,$B289,5)),$C292,0)+G$1202</f>
        <v>0</v>
      </c>
      <c r="H291" s="962">
        <f t="shared" ref="H291:Q291" ca="1" si="66">IF(OR(AND(H$5=0,NoZeroCol=1),AND(H$5=-99,NoResCol=1)),IF(H$5=0,OFFSET(InvInfo,$B289,0),SUM(OFFSET(H291,0,-1))),IF(H$5=0,OFFSET(InvInfo,$B289,0),SUM(OFFSET(H291,0,-1)))-OFFSET(H291,-2,0)+OFFSET(H291,-1,0)+H293)+IF(OFFSET(InvInfo,$B289,3)=1,OFFSET($E$933,$B289-1,H$8)-OFFSET($E$933,$B289-1,H$8-1),0)+IF(AND(OFFSET(InvInfo,$B289,4)=1,H$5=OFFSET(InvInfo,$B289,5)),$C292,0)+H$1202</f>
        <v>0</v>
      </c>
      <c r="I291" s="962">
        <f t="shared" ca="1" si="66"/>
        <v>0</v>
      </c>
      <c r="J291" s="962">
        <f t="shared" ca="1" si="66"/>
        <v>0</v>
      </c>
      <c r="K291" s="962">
        <f t="shared" ca="1" si="66"/>
        <v>0</v>
      </c>
      <c r="L291" s="962">
        <f t="shared" ca="1" si="66"/>
        <v>0</v>
      </c>
      <c r="M291" s="962">
        <f t="shared" ca="1" si="66"/>
        <v>0</v>
      </c>
      <c r="N291" s="962">
        <f t="shared" ca="1" si="66"/>
        <v>0</v>
      </c>
      <c r="O291" s="962">
        <f t="shared" ca="1" si="66"/>
        <v>0</v>
      </c>
      <c r="P291" s="962">
        <f t="shared" ca="1" si="66"/>
        <v>0</v>
      </c>
      <c r="Q291" s="407">
        <f t="shared" ca="1" si="66"/>
        <v>0</v>
      </c>
      <c r="R291" s="321" t="str">
        <f>IF(MID(S291,7,1)="D","  ","")</f>
        <v/>
      </c>
      <c r="S291" s="319" t="s">
        <v>229</v>
      </c>
    </row>
    <row r="292" spans="1:19" ht="11.25" hidden="1" customHeight="1" x14ac:dyDescent="0.35">
      <c r="A292" s="357" t="s">
        <v>592</v>
      </c>
      <c r="B292" s="365">
        <v>1</v>
      </c>
      <c r="C292" s="366">
        <v>0</v>
      </c>
      <c r="D292" s="1188">
        <v>1</v>
      </c>
      <c r="E292" s="1181" t="s">
        <v>593</v>
      </c>
      <c r="F292" s="367"/>
      <c r="G292" s="368"/>
      <c r="H292" s="368"/>
      <c r="I292" s="368"/>
      <c r="J292" s="368"/>
      <c r="K292" s="368"/>
      <c r="L292" s="368"/>
      <c r="M292" s="368"/>
      <c r="N292" s="368"/>
      <c r="O292" s="368"/>
      <c r="P292" s="368"/>
      <c r="Q292" s="368">
        <f ca="1">OFFSET(Q291,-2,0)</f>
        <v>0</v>
      </c>
      <c r="R292" s="321"/>
      <c r="S292" s="319" t="s">
        <v>232</v>
      </c>
    </row>
    <row r="293" spans="1:19" ht="11.25" hidden="1" customHeight="1" x14ac:dyDescent="0.35">
      <c r="A293" s="357" t="s">
        <v>594</v>
      </c>
      <c r="B293" s="360">
        <v>1</v>
      </c>
      <c r="C293" s="369"/>
      <c r="D293" s="1189">
        <v>1</v>
      </c>
      <c r="E293" s="1182" t="s">
        <v>595</v>
      </c>
      <c r="F293" s="370"/>
      <c r="G293" s="371"/>
      <c r="H293" s="371"/>
      <c r="I293" s="371"/>
      <c r="J293" s="371"/>
      <c r="K293" s="371"/>
      <c r="L293" s="371"/>
      <c r="M293" s="371"/>
      <c r="N293" s="371"/>
      <c r="O293" s="371"/>
      <c r="P293" s="371"/>
      <c r="Q293" s="371">
        <f ca="1">IF(NOT(ISBLANK(OFFSET(Q291,-2,0))),OFFSET(Q291,-2,0)-OFFSET(Q291,0,-1),0)</f>
        <v>0</v>
      </c>
      <c r="R293" s="321"/>
      <c r="S293" s="319" t="s">
        <v>232</v>
      </c>
    </row>
    <row r="294" spans="1:19" ht="11.25" hidden="1" customHeight="1" x14ac:dyDescent="0.35">
      <c r="A294" s="357" t="s">
        <v>596</v>
      </c>
      <c r="B294" s="360" t="s">
        <v>77</v>
      </c>
      <c r="C294" s="372" t="str">
        <f>$C$16&amp;" "&amp;B294</f>
        <v>Imputed depreciation (straight line)</v>
      </c>
      <c r="D294" s="1186"/>
      <c r="E294" s="385" t="s">
        <v>597</v>
      </c>
      <c r="F294" s="961"/>
      <c r="G294" s="962"/>
      <c r="H294" s="962"/>
      <c r="I294" s="962"/>
      <c r="J294" s="962"/>
      <c r="K294" s="962"/>
      <c r="L294" s="962"/>
      <c r="M294" s="962"/>
      <c r="N294" s="962"/>
      <c r="O294" s="962"/>
      <c r="P294" s="962"/>
      <c r="Q294" s="407"/>
      <c r="R294" s="321" t="str">
        <f>IF(MID(S294,7,1)="D","  ","")</f>
        <v/>
      </c>
      <c r="S294" s="319" t="s">
        <v>145</v>
      </c>
    </row>
    <row r="295" spans="1:19" ht="11.25" hidden="1" customHeight="1" x14ac:dyDescent="0.35">
      <c r="A295" s="357" t="s">
        <v>598</v>
      </c>
      <c r="B295" s="363">
        <v>1</v>
      </c>
      <c r="C295" s="373" t="s">
        <v>90</v>
      </c>
      <c r="D295" s="1190"/>
      <c r="E295" s="385" t="s">
        <v>599</v>
      </c>
      <c r="F295" s="964"/>
      <c r="G295" s="965">
        <f ca="1">IF(OR(AND(G$5=0,NoZeroCol=1),AND(G$5=-99,NoResCol=1)),IF(G$5=0,OFFSET(InvInfo,$B289+30,0),SUM(OFFSET(G295,0,-1))),IF(G$5=0,OFFSET(InvInfo,$B289+30,0),SUM(OFFSET(G295,0,-1)))-OFFSET(G291,-2,0)+OFFSET(G295,-1,0)+G297)+IF(OFFSET(InvInfo,$B289+30,3)=1,OFFSET($E$963,$B289-1,G$8)-OFFSET($E$963,$B289-1,G$8-1),0)+IF(AND(OFFSET(InvInfo,$B289+30,4)=1,G$5=OFFSET(InvInfo,$B289+30,5)),$C296,0)+G$1202</f>
        <v>0</v>
      </c>
      <c r="H295" s="965">
        <f t="shared" ref="H295:Q295" ca="1" si="67">IF(OR(AND(H$5=0,NoZeroCol=1),AND(H$5=-99,NoResCol=1)),IF(H$5=0,OFFSET(InvInfo,$B289+30,0),SUM(OFFSET(H295,0,-1))),IF(H$5=0,OFFSET(InvInfo,$B289+30,0),SUM(OFFSET(H295,0,-1)))-OFFSET(H291,-2,0)+OFFSET(H295,-1,0)+H297)+IF(OFFSET(InvInfo,$B289+30,3)=1,OFFSET($E$963,$B289-1,H$8)-OFFSET($E$963,$B289-1,H$8-1),0)+IF(AND(OFFSET(InvInfo,$B289+30,4)=1,H$5=OFFSET(InvInfo,$B289+30,5)),$C296,0)+H$1202</f>
        <v>0</v>
      </c>
      <c r="I295" s="965">
        <f t="shared" ca="1" si="67"/>
        <v>0</v>
      </c>
      <c r="J295" s="965">
        <f t="shared" ca="1" si="67"/>
        <v>0</v>
      </c>
      <c r="K295" s="965">
        <f t="shared" ca="1" si="67"/>
        <v>0</v>
      </c>
      <c r="L295" s="965">
        <f t="shared" ca="1" si="67"/>
        <v>0</v>
      </c>
      <c r="M295" s="965">
        <f t="shared" ca="1" si="67"/>
        <v>0</v>
      </c>
      <c r="N295" s="965">
        <f t="shared" ca="1" si="67"/>
        <v>0</v>
      </c>
      <c r="O295" s="965">
        <f t="shared" ca="1" si="67"/>
        <v>0</v>
      </c>
      <c r="P295" s="965">
        <f t="shared" ca="1" si="67"/>
        <v>0</v>
      </c>
      <c r="Q295" s="963">
        <f t="shared" ca="1" si="67"/>
        <v>0</v>
      </c>
      <c r="R295" s="321" t="str">
        <f>IF(MID(S295,7,1)="D","  ","")</f>
        <v/>
      </c>
      <c r="S295" s="319" t="s">
        <v>229</v>
      </c>
    </row>
    <row r="296" spans="1:19" ht="11.25" hidden="1" customHeight="1" x14ac:dyDescent="0.35">
      <c r="A296" s="357" t="s">
        <v>600</v>
      </c>
      <c r="B296" s="376">
        <v>0</v>
      </c>
      <c r="C296" s="375">
        <f>C292</f>
        <v>0</v>
      </c>
      <c r="D296" s="1189">
        <v>1</v>
      </c>
      <c r="E296" s="1181" t="s">
        <v>601</v>
      </c>
      <c r="F296" s="370"/>
      <c r="G296" s="371"/>
      <c r="H296" s="371"/>
      <c r="I296" s="371"/>
      <c r="J296" s="371"/>
      <c r="K296" s="371"/>
      <c r="L296" s="371"/>
      <c r="M296" s="371"/>
      <c r="N296" s="371"/>
      <c r="O296" s="371"/>
      <c r="P296" s="371"/>
      <c r="Q296" s="368">
        <f ca="1">OFFSET(Q295,-6,0)</f>
        <v>0</v>
      </c>
      <c r="R296" s="321"/>
      <c r="S296" s="319" t="s">
        <v>232</v>
      </c>
    </row>
    <row r="297" spans="1:19" ht="11.25" hidden="1" customHeight="1" x14ac:dyDescent="0.35">
      <c r="A297" s="357" t="s">
        <v>602</v>
      </c>
      <c r="B297" s="376">
        <v>1</v>
      </c>
      <c r="C297" s="369" t="str">
        <f>""&amp;C293</f>
        <v/>
      </c>
      <c r="D297" s="1189">
        <v>1</v>
      </c>
      <c r="E297" s="1183" t="s">
        <v>603</v>
      </c>
      <c r="F297" s="370"/>
      <c r="G297" s="371"/>
      <c r="H297" s="371"/>
      <c r="I297" s="371"/>
      <c r="J297" s="371"/>
      <c r="K297" s="371"/>
      <c r="L297" s="371"/>
      <c r="M297" s="371"/>
      <c r="N297" s="371"/>
      <c r="O297" s="371"/>
      <c r="P297" s="371"/>
      <c r="Q297" s="371">
        <f ca="1">IF(NOT(ISBLANK(OFFSET(Q295,-6,0))),OFFSET(Q295,-6,0)-OFFSET(Q295,0,-1),0)</f>
        <v>0</v>
      </c>
      <c r="R297" s="321"/>
      <c r="S297" s="319" t="s">
        <v>232</v>
      </c>
    </row>
    <row r="298" spans="1:19" ht="11.25" hidden="1" customHeight="1" x14ac:dyDescent="0.35">
      <c r="A298" s="353">
        <v>0</v>
      </c>
      <c r="B298" s="354"/>
      <c r="C298" s="355"/>
      <c r="D298" s="1184"/>
      <c r="E298" s="1180" t="s">
        <v>604</v>
      </c>
      <c r="F298" s="317"/>
      <c r="G298" s="356"/>
      <c r="H298" s="356"/>
      <c r="I298" s="356"/>
      <c r="J298" s="356"/>
      <c r="K298" s="356"/>
      <c r="L298" s="356"/>
      <c r="M298" s="356"/>
      <c r="N298" s="356"/>
      <c r="O298" s="356"/>
      <c r="P298" s="356"/>
      <c r="Q298" s="356"/>
      <c r="R298" s="321"/>
      <c r="S298" s="319" t="s">
        <v>145</v>
      </c>
    </row>
    <row r="299" spans="1:19" ht="11.25" hidden="1" customHeight="1" x14ac:dyDescent="0.35">
      <c r="A299" s="357" t="s">
        <v>605</v>
      </c>
      <c r="B299" s="358">
        <v>29</v>
      </c>
      <c r="C299" s="359"/>
      <c r="D299" s="1185"/>
      <c r="E299" s="380" t="s">
        <v>606</v>
      </c>
      <c r="F299" s="959"/>
      <c r="G299" s="960"/>
      <c r="H299" s="960"/>
      <c r="I299" s="960"/>
      <c r="J299" s="960"/>
      <c r="K299" s="960"/>
      <c r="L299" s="960"/>
      <c r="M299" s="960"/>
      <c r="N299" s="960"/>
      <c r="O299" s="960"/>
      <c r="P299" s="960"/>
      <c r="Q299" s="957">
        <f ca="1">OFFSET(Q299,2,-1)</f>
        <v>0</v>
      </c>
      <c r="R299" s="321" t="str">
        <f>IF(MID(S299,7,1)="D","  ","")</f>
        <v/>
      </c>
      <c r="S299" s="319" t="s">
        <v>145</v>
      </c>
    </row>
    <row r="300" spans="1:19" ht="11.25" hidden="1" customHeight="1" x14ac:dyDescent="0.35">
      <c r="A300" s="357" t="s">
        <v>607</v>
      </c>
      <c r="B300" s="360" t="s">
        <v>77</v>
      </c>
      <c r="C300" s="361" t="str">
        <f ca="1">SpecsTxt!$G$12&amp;" "&amp;B300</f>
        <v>Depreciation (straight line)</v>
      </c>
      <c r="D300" s="1186"/>
      <c r="E300" s="385" t="s">
        <v>608</v>
      </c>
      <c r="F300" s="961"/>
      <c r="G300" s="962"/>
      <c r="H300" s="962"/>
      <c r="I300" s="962"/>
      <c r="J300" s="962"/>
      <c r="K300" s="962"/>
      <c r="L300" s="962"/>
      <c r="M300" s="962"/>
      <c r="N300" s="962"/>
      <c r="O300" s="962"/>
      <c r="P300" s="962"/>
      <c r="Q300" s="407"/>
      <c r="R300" s="321" t="str">
        <f>IF(MID(S300,7,1)="D","  ","")</f>
        <v/>
      </c>
      <c r="S300" s="319" t="s">
        <v>145</v>
      </c>
    </row>
    <row r="301" spans="1:19" ht="11.25" hidden="1" customHeight="1" x14ac:dyDescent="0.35">
      <c r="A301" s="357" t="s">
        <v>609</v>
      </c>
      <c r="B301" s="363">
        <v>1</v>
      </c>
      <c r="C301" s="364" t="s">
        <v>80</v>
      </c>
      <c r="D301" s="1187"/>
      <c r="E301" s="385" t="s">
        <v>610</v>
      </c>
      <c r="F301" s="961"/>
      <c r="G301" s="962">
        <f ca="1">IF(OR(AND(G$5=0,NoZeroCol=1),AND(G$5=-99,NoResCol=1)),IF(G$5=0,OFFSET(InvInfo,$B299,0),SUM(OFFSET(G301,0,-1))),IF(G$5=0,OFFSET(InvInfo,$B299,0),SUM(OFFSET(G301,0,-1)))-OFFSET(G301,-2,0)+OFFSET(G301,-1,0)+G303)+IF(OFFSET(InvInfo,$B299,3)=1,OFFSET($E$933,$B299-1,G$8)-OFFSET($E$933,$B299-1,G$8-1),0)+IF(AND(OFFSET(InvInfo,$B299,4)=1,G$5=OFFSET(InvInfo,$B299,5)),$C302,0)+G$1203</f>
        <v>0</v>
      </c>
      <c r="H301" s="962">
        <f t="shared" ref="H301:Q301" ca="1" si="68">IF(OR(AND(H$5=0,NoZeroCol=1),AND(H$5=-99,NoResCol=1)),IF(H$5=0,OFFSET(InvInfo,$B299,0),SUM(OFFSET(H301,0,-1))),IF(H$5=0,OFFSET(InvInfo,$B299,0),SUM(OFFSET(H301,0,-1)))-OFFSET(H301,-2,0)+OFFSET(H301,-1,0)+H303)+IF(OFFSET(InvInfo,$B299,3)=1,OFFSET($E$933,$B299-1,H$8)-OFFSET($E$933,$B299-1,H$8-1),0)+IF(AND(OFFSET(InvInfo,$B299,4)=1,H$5=OFFSET(InvInfo,$B299,5)),$C302,0)+H$1203</f>
        <v>0</v>
      </c>
      <c r="I301" s="962">
        <f t="shared" ca="1" si="68"/>
        <v>0</v>
      </c>
      <c r="J301" s="962">
        <f t="shared" ca="1" si="68"/>
        <v>0</v>
      </c>
      <c r="K301" s="962">
        <f t="shared" ca="1" si="68"/>
        <v>0</v>
      </c>
      <c r="L301" s="962">
        <f t="shared" ca="1" si="68"/>
        <v>0</v>
      </c>
      <c r="M301" s="962">
        <f t="shared" ca="1" si="68"/>
        <v>0</v>
      </c>
      <c r="N301" s="962">
        <f t="shared" ca="1" si="68"/>
        <v>0</v>
      </c>
      <c r="O301" s="962">
        <f t="shared" ca="1" si="68"/>
        <v>0</v>
      </c>
      <c r="P301" s="962">
        <f t="shared" ca="1" si="68"/>
        <v>0</v>
      </c>
      <c r="Q301" s="407">
        <f t="shared" ca="1" si="68"/>
        <v>0</v>
      </c>
      <c r="R301" s="321" t="str">
        <f>IF(MID(S301,7,1)="D","  ","")</f>
        <v/>
      </c>
      <c r="S301" s="319" t="s">
        <v>229</v>
      </c>
    </row>
    <row r="302" spans="1:19" ht="11.25" hidden="1" customHeight="1" x14ac:dyDescent="0.35">
      <c r="A302" s="357" t="s">
        <v>611</v>
      </c>
      <c r="B302" s="365">
        <v>1</v>
      </c>
      <c r="C302" s="366">
        <v>0</v>
      </c>
      <c r="D302" s="1188">
        <v>1</v>
      </c>
      <c r="E302" s="1181" t="s">
        <v>612</v>
      </c>
      <c r="F302" s="367"/>
      <c r="G302" s="368"/>
      <c r="H302" s="368"/>
      <c r="I302" s="368"/>
      <c r="J302" s="368"/>
      <c r="K302" s="368"/>
      <c r="L302" s="368"/>
      <c r="M302" s="368"/>
      <c r="N302" s="368"/>
      <c r="O302" s="368"/>
      <c r="P302" s="368"/>
      <c r="Q302" s="368">
        <f ca="1">OFFSET(Q301,-2,0)</f>
        <v>0</v>
      </c>
      <c r="R302" s="321"/>
      <c r="S302" s="319" t="s">
        <v>232</v>
      </c>
    </row>
    <row r="303" spans="1:19" ht="11.25" hidden="1" customHeight="1" x14ac:dyDescent="0.35">
      <c r="A303" s="357" t="s">
        <v>613</v>
      </c>
      <c r="B303" s="360">
        <v>1</v>
      </c>
      <c r="C303" s="369"/>
      <c r="D303" s="1189">
        <v>1</v>
      </c>
      <c r="E303" s="1182" t="s">
        <v>614</v>
      </c>
      <c r="F303" s="370"/>
      <c r="G303" s="371"/>
      <c r="H303" s="371"/>
      <c r="I303" s="371"/>
      <c r="J303" s="371"/>
      <c r="K303" s="371"/>
      <c r="L303" s="371"/>
      <c r="M303" s="371"/>
      <c r="N303" s="371"/>
      <c r="O303" s="371"/>
      <c r="P303" s="371"/>
      <c r="Q303" s="371">
        <f ca="1">IF(NOT(ISBLANK(OFFSET(Q301,-2,0))),OFFSET(Q301,-2,0)-OFFSET(Q301,0,-1),0)</f>
        <v>0</v>
      </c>
      <c r="R303" s="321"/>
      <c r="S303" s="319" t="s">
        <v>232</v>
      </c>
    </row>
    <row r="304" spans="1:19" ht="11.25" hidden="1" customHeight="1" x14ac:dyDescent="0.35">
      <c r="A304" s="357" t="s">
        <v>615</v>
      </c>
      <c r="B304" s="360" t="s">
        <v>77</v>
      </c>
      <c r="C304" s="372" t="str">
        <f>$C$16&amp;" "&amp;B304</f>
        <v>Imputed depreciation (straight line)</v>
      </c>
      <c r="D304" s="1186"/>
      <c r="E304" s="385" t="s">
        <v>616</v>
      </c>
      <c r="F304" s="961"/>
      <c r="G304" s="962"/>
      <c r="H304" s="962"/>
      <c r="I304" s="962"/>
      <c r="J304" s="962"/>
      <c r="K304" s="962"/>
      <c r="L304" s="962"/>
      <c r="M304" s="962"/>
      <c r="N304" s="962"/>
      <c r="O304" s="962"/>
      <c r="P304" s="962"/>
      <c r="Q304" s="407"/>
      <c r="R304" s="321" t="str">
        <f>IF(MID(S304,7,1)="D","  ","")</f>
        <v/>
      </c>
      <c r="S304" s="319" t="s">
        <v>145</v>
      </c>
    </row>
    <row r="305" spans="1:19" ht="11.25" hidden="1" customHeight="1" x14ac:dyDescent="0.35">
      <c r="A305" s="357" t="s">
        <v>617</v>
      </c>
      <c r="B305" s="363">
        <v>1</v>
      </c>
      <c r="C305" s="373" t="s">
        <v>90</v>
      </c>
      <c r="D305" s="1190"/>
      <c r="E305" s="385" t="s">
        <v>618</v>
      </c>
      <c r="F305" s="964"/>
      <c r="G305" s="965">
        <f ca="1">IF(OR(AND(G$5=0,NoZeroCol=1),AND(G$5=-99,NoResCol=1)),IF(G$5=0,OFFSET(InvInfo,$B299+30,0),SUM(OFFSET(G305,0,-1))),IF(G$5=0,OFFSET(InvInfo,$B299+30,0),SUM(OFFSET(G305,0,-1)))-OFFSET(G301,-2,0)+OFFSET(G305,-1,0)+G307)+IF(OFFSET(InvInfo,$B299+30,3)=1,OFFSET($E$963,$B299-1,G$8)-OFFSET($E$963,$B299-1,G$8-1),0)+IF(AND(OFFSET(InvInfo,$B299+30,4)=1,G$5=OFFSET(InvInfo,$B299+30,5)),$C306,0)+G$1203</f>
        <v>0</v>
      </c>
      <c r="H305" s="965">
        <f t="shared" ref="H305:Q305" ca="1" si="69">IF(OR(AND(H$5=0,NoZeroCol=1),AND(H$5=-99,NoResCol=1)),IF(H$5=0,OFFSET(InvInfo,$B299+30,0),SUM(OFFSET(H305,0,-1))),IF(H$5=0,OFFSET(InvInfo,$B299+30,0),SUM(OFFSET(H305,0,-1)))-OFFSET(H301,-2,0)+OFFSET(H305,-1,0)+H307)+IF(OFFSET(InvInfo,$B299+30,3)=1,OFFSET($E$963,$B299-1,H$8)-OFFSET($E$963,$B299-1,H$8-1),0)+IF(AND(OFFSET(InvInfo,$B299+30,4)=1,H$5=OFFSET(InvInfo,$B299+30,5)),$C306,0)+H$1203</f>
        <v>0</v>
      </c>
      <c r="I305" s="965">
        <f t="shared" ca="1" si="69"/>
        <v>0</v>
      </c>
      <c r="J305" s="965">
        <f t="shared" ca="1" si="69"/>
        <v>0</v>
      </c>
      <c r="K305" s="965">
        <f t="shared" ca="1" si="69"/>
        <v>0</v>
      </c>
      <c r="L305" s="965">
        <f t="shared" ca="1" si="69"/>
        <v>0</v>
      </c>
      <c r="M305" s="965">
        <f t="shared" ca="1" si="69"/>
        <v>0</v>
      </c>
      <c r="N305" s="965">
        <f t="shared" ca="1" si="69"/>
        <v>0</v>
      </c>
      <c r="O305" s="965">
        <f t="shared" ca="1" si="69"/>
        <v>0</v>
      </c>
      <c r="P305" s="965">
        <f t="shared" ca="1" si="69"/>
        <v>0</v>
      </c>
      <c r="Q305" s="963">
        <f t="shared" ca="1" si="69"/>
        <v>0</v>
      </c>
      <c r="R305" s="321" t="str">
        <f>IF(MID(S305,7,1)="D","  ","")</f>
        <v/>
      </c>
      <c r="S305" s="319" t="s">
        <v>229</v>
      </c>
    </row>
    <row r="306" spans="1:19" ht="11.25" hidden="1" customHeight="1" x14ac:dyDescent="0.35">
      <c r="A306" s="357" t="s">
        <v>619</v>
      </c>
      <c r="B306" s="376">
        <v>0</v>
      </c>
      <c r="C306" s="375">
        <f>C302</f>
        <v>0</v>
      </c>
      <c r="D306" s="1189">
        <v>1</v>
      </c>
      <c r="E306" s="1181" t="s">
        <v>620</v>
      </c>
      <c r="F306" s="370"/>
      <c r="G306" s="371"/>
      <c r="H306" s="371"/>
      <c r="I306" s="371"/>
      <c r="J306" s="371"/>
      <c r="K306" s="371"/>
      <c r="L306" s="371"/>
      <c r="M306" s="371"/>
      <c r="N306" s="371"/>
      <c r="O306" s="371"/>
      <c r="P306" s="371"/>
      <c r="Q306" s="368">
        <f ca="1">OFFSET(Q305,-6,0)</f>
        <v>0</v>
      </c>
      <c r="R306" s="321"/>
      <c r="S306" s="319" t="s">
        <v>232</v>
      </c>
    </row>
    <row r="307" spans="1:19" ht="11.25" hidden="1" customHeight="1" x14ac:dyDescent="0.35">
      <c r="A307" s="357" t="s">
        <v>621</v>
      </c>
      <c r="B307" s="376">
        <v>1</v>
      </c>
      <c r="C307" s="369" t="str">
        <f>""&amp;C303</f>
        <v/>
      </c>
      <c r="D307" s="1189">
        <v>1</v>
      </c>
      <c r="E307" s="1183" t="s">
        <v>622</v>
      </c>
      <c r="F307" s="370"/>
      <c r="G307" s="371"/>
      <c r="H307" s="371"/>
      <c r="I307" s="371"/>
      <c r="J307" s="371"/>
      <c r="K307" s="371"/>
      <c r="L307" s="371"/>
      <c r="M307" s="371"/>
      <c r="N307" s="371"/>
      <c r="O307" s="371"/>
      <c r="P307" s="371"/>
      <c r="Q307" s="371">
        <f ca="1">IF(NOT(ISBLANK(OFFSET(Q305,-6,0))),OFFSET(Q305,-6,0)-OFFSET(Q305,0,-1),0)</f>
        <v>0</v>
      </c>
      <c r="R307" s="321"/>
      <c r="S307" s="319" t="s">
        <v>232</v>
      </c>
    </row>
    <row r="308" spans="1:19" ht="11.25" hidden="1" customHeight="1" x14ac:dyDescent="0.35">
      <c r="A308" s="353">
        <v>0</v>
      </c>
      <c r="B308" s="354"/>
      <c r="C308" s="355"/>
      <c r="D308" s="1184"/>
      <c r="E308" s="1180" t="s">
        <v>623</v>
      </c>
      <c r="F308" s="317"/>
      <c r="G308" s="356"/>
      <c r="H308" s="356"/>
      <c r="I308" s="356"/>
      <c r="J308" s="356"/>
      <c r="K308" s="356"/>
      <c r="L308" s="356"/>
      <c r="M308" s="356"/>
      <c r="N308" s="356"/>
      <c r="O308" s="356"/>
      <c r="P308" s="356"/>
      <c r="Q308" s="356"/>
      <c r="R308" s="321"/>
      <c r="S308" s="319" t="s">
        <v>145</v>
      </c>
    </row>
    <row r="309" spans="1:19" ht="11.25" hidden="1" customHeight="1" x14ac:dyDescent="0.35">
      <c r="A309" s="357" t="s">
        <v>624</v>
      </c>
      <c r="B309" s="358">
        <v>30</v>
      </c>
      <c r="C309" s="359"/>
      <c r="D309" s="1185"/>
      <c r="E309" s="380" t="s">
        <v>625</v>
      </c>
      <c r="F309" s="959"/>
      <c r="G309" s="960"/>
      <c r="H309" s="960"/>
      <c r="I309" s="960"/>
      <c r="J309" s="960"/>
      <c r="K309" s="960"/>
      <c r="L309" s="960"/>
      <c r="M309" s="960"/>
      <c r="N309" s="960"/>
      <c r="O309" s="960"/>
      <c r="P309" s="960"/>
      <c r="Q309" s="957">
        <f ca="1">OFFSET(Q309,2,-1)</f>
        <v>0</v>
      </c>
      <c r="R309" s="321" t="str">
        <f>IF(MID(S309,7,1)="D","  ","")</f>
        <v/>
      </c>
      <c r="S309" s="319" t="s">
        <v>145</v>
      </c>
    </row>
    <row r="310" spans="1:19" ht="11.25" hidden="1" customHeight="1" x14ac:dyDescent="0.35">
      <c r="A310" s="357" t="s">
        <v>626</v>
      </c>
      <c r="B310" s="360" t="s">
        <v>77</v>
      </c>
      <c r="C310" s="361" t="str">
        <f ca="1">SpecsTxt!$G$12&amp;" "&amp;B310</f>
        <v>Depreciation (straight line)</v>
      </c>
      <c r="D310" s="1186"/>
      <c r="E310" s="385" t="s">
        <v>627</v>
      </c>
      <c r="F310" s="961"/>
      <c r="G310" s="962"/>
      <c r="H310" s="962"/>
      <c r="I310" s="962"/>
      <c r="J310" s="962"/>
      <c r="K310" s="962"/>
      <c r="L310" s="962"/>
      <c r="M310" s="962"/>
      <c r="N310" s="962"/>
      <c r="O310" s="962"/>
      <c r="P310" s="962"/>
      <c r="Q310" s="407"/>
      <c r="R310" s="321" t="str">
        <f>IF(MID(S310,7,1)="D","  ","")</f>
        <v/>
      </c>
      <c r="S310" s="319" t="s">
        <v>145</v>
      </c>
    </row>
    <row r="311" spans="1:19" ht="11.25" hidden="1" customHeight="1" x14ac:dyDescent="0.35">
      <c r="A311" s="357" t="s">
        <v>628</v>
      </c>
      <c r="B311" s="363">
        <v>1</v>
      </c>
      <c r="C311" s="364" t="s">
        <v>80</v>
      </c>
      <c r="D311" s="1187"/>
      <c r="E311" s="385" t="s">
        <v>629</v>
      </c>
      <c r="F311" s="961"/>
      <c r="G311" s="962">
        <f ca="1">IF(OR(AND(G$5=0,NoZeroCol=1),AND(G$5=-99,NoResCol=1)),IF(G$5=0,OFFSET(InvInfo,$B309,0),SUM(OFFSET(G311,0,-1))),IF(G$5=0,OFFSET(InvInfo,$B309,0),SUM(OFFSET(G311,0,-1)))-OFFSET(G311,-2,0)+OFFSET(G311,-1,0)+G313)+IF(OFFSET(InvInfo,$B309,3)=1,OFFSET($E$933,$B309-1,G$8)-OFFSET($E$933,$B309-1,G$8-1),0)+IF(AND(OFFSET(InvInfo,$B309,4)=1,G$5=OFFSET(InvInfo,$B309,5)),$C312,0)+G$1204</f>
        <v>0</v>
      </c>
      <c r="H311" s="962">
        <f t="shared" ref="H311:Q311" ca="1" si="70">IF(OR(AND(H$5=0,NoZeroCol=1),AND(H$5=-99,NoResCol=1)),IF(H$5=0,OFFSET(InvInfo,$B309,0),SUM(OFFSET(H311,0,-1))),IF(H$5=0,OFFSET(InvInfo,$B309,0),SUM(OFFSET(H311,0,-1)))-OFFSET(H311,-2,0)+OFFSET(H311,-1,0)+H313)+IF(OFFSET(InvInfo,$B309,3)=1,OFFSET($E$933,$B309-1,H$8)-OFFSET($E$933,$B309-1,H$8-1),0)+IF(AND(OFFSET(InvInfo,$B309,4)=1,H$5=OFFSET(InvInfo,$B309,5)),$C312,0)+H$1204</f>
        <v>0</v>
      </c>
      <c r="I311" s="962">
        <f t="shared" ca="1" si="70"/>
        <v>0</v>
      </c>
      <c r="J311" s="962">
        <f t="shared" ca="1" si="70"/>
        <v>0</v>
      </c>
      <c r="K311" s="962">
        <f t="shared" ca="1" si="70"/>
        <v>0</v>
      </c>
      <c r="L311" s="962">
        <f t="shared" ca="1" si="70"/>
        <v>0</v>
      </c>
      <c r="M311" s="962">
        <f t="shared" ca="1" si="70"/>
        <v>0</v>
      </c>
      <c r="N311" s="962">
        <f t="shared" ca="1" si="70"/>
        <v>0</v>
      </c>
      <c r="O311" s="962">
        <f t="shared" ca="1" si="70"/>
        <v>0</v>
      </c>
      <c r="P311" s="962">
        <f t="shared" ca="1" si="70"/>
        <v>0</v>
      </c>
      <c r="Q311" s="407">
        <f t="shared" ca="1" si="70"/>
        <v>0</v>
      </c>
      <c r="R311" s="321" t="str">
        <f>IF(MID(S311,7,1)="D","  ","")</f>
        <v/>
      </c>
      <c r="S311" s="319" t="s">
        <v>229</v>
      </c>
    </row>
    <row r="312" spans="1:19" ht="11.25" hidden="1" customHeight="1" x14ac:dyDescent="0.35">
      <c r="A312" s="357" t="s">
        <v>630</v>
      </c>
      <c r="B312" s="365">
        <v>1</v>
      </c>
      <c r="C312" s="366">
        <v>0</v>
      </c>
      <c r="D312" s="1188">
        <v>1</v>
      </c>
      <c r="E312" s="1181" t="s">
        <v>631</v>
      </c>
      <c r="F312" s="367"/>
      <c r="G312" s="368"/>
      <c r="H312" s="368"/>
      <c r="I312" s="368"/>
      <c r="J312" s="368"/>
      <c r="K312" s="368"/>
      <c r="L312" s="368"/>
      <c r="M312" s="368"/>
      <c r="N312" s="368"/>
      <c r="O312" s="368"/>
      <c r="P312" s="368"/>
      <c r="Q312" s="368">
        <f ca="1">OFFSET(Q311,-2,0)</f>
        <v>0</v>
      </c>
      <c r="R312" s="321"/>
      <c r="S312" s="319" t="s">
        <v>40</v>
      </c>
    </row>
    <row r="313" spans="1:19" ht="11.25" hidden="1" customHeight="1" x14ac:dyDescent="0.35">
      <c r="A313" s="357" t="s">
        <v>632</v>
      </c>
      <c r="B313" s="360">
        <v>1</v>
      </c>
      <c r="C313" s="369"/>
      <c r="D313" s="1189">
        <v>1</v>
      </c>
      <c r="E313" s="1182" t="s">
        <v>633</v>
      </c>
      <c r="F313" s="370"/>
      <c r="G313" s="371"/>
      <c r="H313" s="371"/>
      <c r="I313" s="371"/>
      <c r="J313" s="371"/>
      <c r="K313" s="371"/>
      <c r="L313" s="371"/>
      <c r="M313" s="371"/>
      <c r="N313" s="371"/>
      <c r="O313" s="371"/>
      <c r="P313" s="371"/>
      <c r="Q313" s="371">
        <f ca="1">IF(NOT(ISBLANK(OFFSET(Q311,-2,0))),OFFSET(Q311,-2,0)-OFFSET(Q311,0,-1),0)</f>
        <v>0</v>
      </c>
      <c r="R313" s="321"/>
      <c r="S313" s="319" t="s">
        <v>40</v>
      </c>
    </row>
    <row r="314" spans="1:19" ht="11.25" hidden="1" customHeight="1" x14ac:dyDescent="0.35">
      <c r="A314" s="357" t="s">
        <v>634</v>
      </c>
      <c r="B314" s="360" t="s">
        <v>77</v>
      </c>
      <c r="C314" s="372" t="str">
        <f>$C$16&amp;" "&amp;B314</f>
        <v>Imputed depreciation (straight line)</v>
      </c>
      <c r="D314" s="1186"/>
      <c r="E314" s="385" t="s">
        <v>635</v>
      </c>
      <c r="F314" s="961"/>
      <c r="G314" s="962"/>
      <c r="H314" s="962"/>
      <c r="I314" s="962"/>
      <c r="J314" s="962"/>
      <c r="K314" s="962"/>
      <c r="L314" s="962"/>
      <c r="M314" s="962"/>
      <c r="N314" s="962"/>
      <c r="O314" s="962"/>
      <c r="P314" s="962"/>
      <c r="Q314" s="407"/>
      <c r="R314" s="321" t="str">
        <f>IF(MID(S314,7,1)="D","  ","")</f>
        <v/>
      </c>
      <c r="S314" s="319" t="s">
        <v>145</v>
      </c>
    </row>
    <row r="315" spans="1:19" ht="11.25" hidden="1" customHeight="1" x14ac:dyDescent="0.35">
      <c r="A315" s="357" t="s">
        <v>636</v>
      </c>
      <c r="B315" s="363">
        <v>1</v>
      </c>
      <c r="C315" s="373" t="s">
        <v>90</v>
      </c>
      <c r="D315" s="1190"/>
      <c r="E315" s="385" t="s">
        <v>637</v>
      </c>
      <c r="F315" s="964"/>
      <c r="G315" s="965">
        <f ca="1">IF(OR(AND(G$5=0,NoZeroCol=1),AND(G$5=-99,NoResCol=1)),IF(G$5=0,OFFSET(InvInfo,$B309+30,0),SUM(OFFSET(G315,0,-1))),IF(G$5=0,OFFSET(InvInfo,$B309+30,0),SUM(OFFSET(G315,0,-1)))-OFFSET(G311,-2,0)+OFFSET(G315,-1,0)+G317)+IF(OFFSET(InvInfo,$B309+30,3)=1,OFFSET($E$963,$B309-1,G$8)-OFFSET($E$963,$B309-1,G$8-1),0)+IF(AND(OFFSET(InvInfo,$B309+30,4)=1,G$5=OFFSET(InvInfo,$B309+30,5)),$C316,0)+G$1204</f>
        <v>0</v>
      </c>
      <c r="H315" s="965">
        <f t="shared" ref="H315:Q315" ca="1" si="71">IF(OR(AND(H$5=0,NoZeroCol=1),AND(H$5=-99,NoResCol=1)),IF(H$5=0,OFFSET(InvInfo,$B309+30,0),SUM(OFFSET(H315,0,-1))),IF(H$5=0,OFFSET(InvInfo,$B309+30,0),SUM(OFFSET(H315,0,-1)))-OFFSET(H311,-2,0)+OFFSET(H315,-1,0)+H317)+IF(OFFSET(InvInfo,$B309+30,3)=1,OFFSET($E$963,$B309-1,H$8)-OFFSET($E$963,$B309-1,H$8-1),0)+IF(AND(OFFSET(InvInfo,$B309+30,4)=1,H$5=OFFSET(InvInfo,$B309+30,5)),$C316,0)+H$1204</f>
        <v>0</v>
      </c>
      <c r="I315" s="965">
        <f t="shared" ca="1" si="71"/>
        <v>0</v>
      </c>
      <c r="J315" s="965">
        <f t="shared" ca="1" si="71"/>
        <v>0</v>
      </c>
      <c r="K315" s="965">
        <f t="shared" ca="1" si="71"/>
        <v>0</v>
      </c>
      <c r="L315" s="965">
        <f t="shared" ca="1" si="71"/>
        <v>0</v>
      </c>
      <c r="M315" s="965">
        <f t="shared" ca="1" si="71"/>
        <v>0</v>
      </c>
      <c r="N315" s="965">
        <f t="shared" ca="1" si="71"/>
        <v>0</v>
      </c>
      <c r="O315" s="965">
        <f t="shared" ca="1" si="71"/>
        <v>0</v>
      </c>
      <c r="P315" s="965">
        <f t="shared" ca="1" si="71"/>
        <v>0</v>
      </c>
      <c r="Q315" s="963">
        <f t="shared" ca="1" si="71"/>
        <v>0</v>
      </c>
      <c r="R315" s="321" t="str">
        <f>IF(MID(S315,7,1)="D","  ","")</f>
        <v/>
      </c>
      <c r="S315" s="319" t="s">
        <v>229</v>
      </c>
    </row>
    <row r="316" spans="1:19" ht="11.25" hidden="1" customHeight="1" x14ac:dyDescent="0.35">
      <c r="A316" s="357" t="s">
        <v>638</v>
      </c>
      <c r="B316" s="376">
        <v>0</v>
      </c>
      <c r="C316" s="375">
        <f>C312</f>
        <v>0</v>
      </c>
      <c r="D316" s="1189">
        <v>1</v>
      </c>
      <c r="E316" s="1181" t="s">
        <v>639</v>
      </c>
      <c r="F316" s="370"/>
      <c r="G316" s="371"/>
      <c r="H316" s="371"/>
      <c r="I316" s="371"/>
      <c r="J316" s="371"/>
      <c r="K316" s="371"/>
      <c r="L316" s="371"/>
      <c r="M316" s="371"/>
      <c r="N316" s="371"/>
      <c r="O316" s="371"/>
      <c r="P316" s="371"/>
      <c r="Q316" s="368">
        <f ca="1">OFFSET(Q315,-6,0)</f>
        <v>0</v>
      </c>
      <c r="R316" s="321"/>
      <c r="S316" s="319" t="s">
        <v>232</v>
      </c>
    </row>
    <row r="317" spans="1:19" ht="11.25" hidden="1" customHeight="1" x14ac:dyDescent="0.35">
      <c r="A317" s="357" t="s">
        <v>640</v>
      </c>
      <c r="B317" s="376">
        <v>1</v>
      </c>
      <c r="C317" s="369" t="str">
        <f>""&amp;C313</f>
        <v/>
      </c>
      <c r="D317" s="1189">
        <v>1</v>
      </c>
      <c r="E317" s="1183" t="s">
        <v>641</v>
      </c>
      <c r="F317" s="370"/>
      <c r="G317" s="371"/>
      <c r="H317" s="371"/>
      <c r="I317" s="371"/>
      <c r="J317" s="371"/>
      <c r="K317" s="371"/>
      <c r="L317" s="371"/>
      <c r="M317" s="371"/>
      <c r="N317" s="371"/>
      <c r="O317" s="371"/>
      <c r="P317" s="371"/>
      <c r="Q317" s="371">
        <f ca="1">IF(NOT(ISBLANK(OFFSET(Q315,-6,0))),OFFSET(Q315,-6,0)-OFFSET(Q315,0,-1),0)</f>
        <v>0</v>
      </c>
      <c r="R317" s="321"/>
      <c r="S317" s="319" t="s">
        <v>232</v>
      </c>
    </row>
    <row r="318" spans="1:19" ht="11.25" customHeight="1" x14ac:dyDescent="0.35">
      <c r="A318" s="377"/>
      <c r="B318" s="378" t="s">
        <v>642</v>
      </c>
      <c r="C318" s="379"/>
      <c r="D318" s="1191"/>
      <c r="E318" s="380" t="s">
        <v>643</v>
      </c>
      <c r="F318" s="959">
        <f t="shared" ref="F318:P318" ca="1" si="72">IF(OR(AND(F$5=0,NoZeroCol=1),AND(F$5=-99,NoResCol=1)),0,+OFFSET(F$21,-2,0)+OFFSET(F$31,-2,0)+OFFSET(F$41,-2,0)+OFFSET(F$51,-2,0)+OFFSET(F$61,-2,0)+OFFSET(F$71,-2,0)+OFFSET(F$81,-2,0)+OFFSET(F$91,-2,0)+OFFSET(F$101,-2,0)+OFFSET(F$111,-2,0)+OFFSET(F$121,-2,0)+OFFSET(F$131,-2,0)+OFFSET(F$141,-2,0)+OFFSET(F$151,-2,0)+OFFSET(F$161,-2,0)+OFFSET(F$171,-2,0)+OFFSET(F$181,-2,0)+OFFSET(F$191,-2,0)+OFFSET(F$201,-2,0)+OFFSET(F$211,-2,0)+OFFSET(F$221,-2,0)+OFFSET(F$231,-2,0)+OFFSET(F$241,-2,0)+OFFSET(F$251,-2,0)+OFFSET(F$261,-2,0)+OFFSET(F$271,-2,0)+OFFSET(F$281,-2,0)+OFFSET(F$291,-2,0)+OFFSET(F$301,-2,0)+OFFSET(F$311,-2,0)-F$319-F$321)</f>
        <v>0</v>
      </c>
      <c r="G318" s="970">
        <f t="shared" ca="1" si="72"/>
        <v>0</v>
      </c>
      <c r="H318" s="970">
        <f t="shared" ca="1" si="72"/>
        <v>-1500000</v>
      </c>
      <c r="I318" s="970">
        <f t="shared" ca="1" si="72"/>
        <v>-500000</v>
      </c>
      <c r="J318" s="970">
        <f t="shared" ca="1" si="72"/>
        <v>-350000</v>
      </c>
      <c r="K318" s="970">
        <f t="shared" ca="1" si="72"/>
        <v>-350000</v>
      </c>
      <c r="L318" s="970">
        <f t="shared" ca="1" si="72"/>
        <v>0</v>
      </c>
      <c r="M318" s="970">
        <f t="shared" ca="1" si="72"/>
        <v>-90000</v>
      </c>
      <c r="N318" s="970">
        <f t="shared" ca="1" si="72"/>
        <v>0</v>
      </c>
      <c r="O318" s="970">
        <f t="shared" ca="1" si="72"/>
        <v>-45000</v>
      </c>
      <c r="P318" s="970">
        <f t="shared" ca="1" si="72"/>
        <v>0</v>
      </c>
      <c r="Q318" s="966"/>
      <c r="R318" s="381"/>
      <c r="S318" s="319" t="s">
        <v>644</v>
      </c>
    </row>
    <row r="319" spans="1:19" ht="11.25" customHeight="1" x14ac:dyDescent="0.35">
      <c r="A319" s="377"/>
      <c r="B319" s="382" t="s">
        <v>645</v>
      </c>
      <c r="C319" s="324"/>
      <c r="D319" s="1137"/>
      <c r="E319" s="324" t="s">
        <v>646</v>
      </c>
      <c r="F319" s="971"/>
      <c r="G319" s="972">
        <f t="shared" ref="G319:Q319" si="73">IF(OR(AND(G$5=0,NoZeroCol=1),AND(G$5=-99,NoResCol=1)),0,+G$22+G$32+G$42+G$52+G$62+G$72+G$82+G$92+G$102+G$112+G$122+G$132+G$142+G$152+G$162+G$172+G$182+G$192+G$202+G$212+G$222+G$232+G$242+G$252+G$262+G$272+G$282+G$292+G$302+G$312-G$321)</f>
        <v>0</v>
      </c>
      <c r="H319" s="972">
        <f t="shared" si="73"/>
        <v>0</v>
      </c>
      <c r="I319" s="972">
        <f t="shared" si="73"/>
        <v>0</v>
      </c>
      <c r="J319" s="972">
        <f t="shared" si="73"/>
        <v>0</v>
      </c>
      <c r="K319" s="972">
        <f t="shared" si="73"/>
        <v>0</v>
      </c>
      <c r="L319" s="972">
        <f t="shared" si="73"/>
        <v>0</v>
      </c>
      <c r="M319" s="972">
        <f t="shared" si="73"/>
        <v>0</v>
      </c>
      <c r="N319" s="972">
        <f t="shared" si="73"/>
        <v>0</v>
      </c>
      <c r="O319" s="972">
        <f t="shared" si="73"/>
        <v>0</v>
      </c>
      <c r="P319" s="972">
        <f t="shared" si="73"/>
        <v>0</v>
      </c>
      <c r="Q319" s="967">
        <f t="shared" ca="1" si="73"/>
        <v>1589806.4778645835</v>
      </c>
      <c r="R319" s="381"/>
      <c r="S319" s="319" t="s">
        <v>71</v>
      </c>
    </row>
    <row r="320" spans="1:19" ht="11.25" customHeight="1" x14ac:dyDescent="0.35">
      <c r="A320" s="383"/>
      <c r="B320" s="382" t="s">
        <v>647</v>
      </c>
      <c r="C320" s="324"/>
      <c r="D320" s="1137"/>
      <c r="E320" s="324" t="s">
        <v>648</v>
      </c>
      <c r="F320" s="971">
        <f t="shared" ref="F320:P320" ca="1" si="74">IF(OR(AND(F$5=0,NoZeroCol=1),AND(F$5=-99,NoResCol=1)),0,+OFFSET(F$21,-1,0)+OFFSET(F$31,-1,0)+OFFSET(F$41,-1,0)+OFFSET(F$51,-1,0)+OFFSET(F$61,-1,0)+OFFSET(F$71,-1,0)+OFFSET(F$81,-1,0)+OFFSET(F$91,-1,0)+OFFSET(F$101,-1,0)+OFFSET(F$111,-1,0)+OFFSET(F$121,-1,0)+OFFSET(F$131,-1,0)+OFFSET(F$141,-1,0)+OFFSET(F$151,-1,0)+OFFSET(F$161,-1,0)+OFFSET(F$171,-1,0)+OFFSET(F$181,-1,0)+OFFSET(F$191,-1,0)+OFFSET(F$201,-1,0)+OFFSET(F$211,-1,0)+OFFSET(F$221,-1,0)+OFFSET(F$231,-1,0)+OFFSET(F$241,-1,0)+OFFSET(F$251,-1,0)+OFFSET(F$261,-1,0)+OFFSET(F$271,-1,0)+OFFSET(F$281,-1,0)+OFFSET(F$291,-1,0)+OFFSET(F$301,-1,0)+OFFSET(F$311,-1,0))</f>
        <v>0</v>
      </c>
      <c r="G320" s="972">
        <f t="shared" ca="1" si="74"/>
        <v>0</v>
      </c>
      <c r="H320" s="972">
        <f t="shared" ca="1" si="74"/>
        <v>-1666.6666666666699</v>
      </c>
      <c r="I320" s="972">
        <f t="shared" ca="1" si="74"/>
        <v>-24166.666666666639</v>
      </c>
      <c r="J320" s="972">
        <f t="shared" ca="1" si="74"/>
        <v>-25333.33333333331</v>
      </c>
      <c r="K320" s="972">
        <f t="shared" ca="1" si="74"/>
        <v>-26499.999999999978</v>
      </c>
      <c r="L320" s="972">
        <f t="shared" ca="1" si="74"/>
        <v>-302375</v>
      </c>
      <c r="M320" s="972">
        <f t="shared" ca="1" si="74"/>
        <v>-266281.25</v>
      </c>
      <c r="N320" s="972">
        <f t="shared" ca="1" si="74"/>
        <v>-222335.9375</v>
      </c>
      <c r="O320" s="972">
        <f t="shared" ca="1" si="74"/>
        <v>-200626.953125</v>
      </c>
      <c r="P320" s="972">
        <f t="shared" ca="1" si="74"/>
        <v>-175907.71484375</v>
      </c>
      <c r="Q320" s="967"/>
      <c r="R320" s="381"/>
      <c r="S320" s="319" t="s">
        <v>71</v>
      </c>
    </row>
    <row r="321" spans="1:19" ht="11.25" customHeight="1" x14ac:dyDescent="0.35">
      <c r="A321" s="383"/>
      <c r="B321" s="384" t="s">
        <v>649</v>
      </c>
      <c r="C321" s="385"/>
      <c r="D321" s="1172"/>
      <c r="E321" s="385" t="s">
        <v>650</v>
      </c>
      <c r="F321" s="961"/>
      <c r="G321" s="962">
        <f t="shared" ref="G321:Q321" si="75">IF(OR(AND(G$5=0,NoZeroCol=1),AND(G$5=-99,NoResCol=1)),0,+G$23+G$33+G$43+G$53+G$63+G$73+G$83+G$93+G$103+G$113+G$123+G$133+G$143+G$153+G$163+G$173+G$183+G$193+G$203+G$213+G$223+G$233+G$243+G$253+G$263+G$273+G$283+G$293+G$303+G$313)</f>
        <v>0</v>
      </c>
      <c r="H321" s="962">
        <f t="shared" si="75"/>
        <v>0</v>
      </c>
      <c r="I321" s="962">
        <f t="shared" si="75"/>
        <v>0</v>
      </c>
      <c r="J321" s="962">
        <f t="shared" si="75"/>
        <v>0</v>
      </c>
      <c r="K321" s="962">
        <f t="shared" si="75"/>
        <v>0</v>
      </c>
      <c r="L321" s="962">
        <f t="shared" si="75"/>
        <v>0</v>
      </c>
      <c r="M321" s="962">
        <f t="shared" si="75"/>
        <v>0</v>
      </c>
      <c r="N321" s="962">
        <f t="shared" si="75"/>
        <v>0</v>
      </c>
      <c r="O321" s="962">
        <f t="shared" si="75"/>
        <v>0</v>
      </c>
      <c r="P321" s="962">
        <f t="shared" si="75"/>
        <v>0</v>
      </c>
      <c r="Q321" s="407">
        <f t="shared" ca="1" si="75"/>
        <v>-1067306.4778645835</v>
      </c>
      <c r="R321" s="381"/>
      <c r="S321" s="319" t="s">
        <v>71</v>
      </c>
    </row>
    <row r="322" spans="1:19" ht="11.25" customHeight="1" x14ac:dyDescent="0.35">
      <c r="A322" s="383"/>
      <c r="B322" s="384" t="s">
        <v>80</v>
      </c>
      <c r="C322" s="385"/>
      <c r="D322" s="1172"/>
      <c r="E322" s="385" t="s">
        <v>651</v>
      </c>
      <c r="F322" s="961">
        <f t="shared" ref="F322:Q322" si="76">+F$21+F$31+F$41+F$51+F$61+F$71+F$81+F$91+F$101+F$111+F$121+F$131+F$141+F$151+F$161+F$171+F$181+F$191+F$201+F$211+F$221+F$231+F$241+F$251+F$261+F$271+F$281+F$291+F$301+F$311</f>
        <v>0</v>
      </c>
      <c r="G322" s="961">
        <f t="shared" ca="1" si="76"/>
        <v>0</v>
      </c>
      <c r="H322" s="961">
        <f t="shared" ca="1" si="76"/>
        <v>1498333.3333333333</v>
      </c>
      <c r="I322" s="961">
        <f t="shared" ca="1" si="76"/>
        <v>1974166.6666666665</v>
      </c>
      <c r="J322" s="961">
        <f t="shared" ca="1" si="76"/>
        <v>2298833.3333333335</v>
      </c>
      <c r="K322" s="961">
        <f t="shared" ca="1" si="76"/>
        <v>2622333.3333333335</v>
      </c>
      <c r="L322" s="961">
        <f t="shared" ca="1" si="76"/>
        <v>2319958.3333333335</v>
      </c>
      <c r="M322" s="961">
        <f t="shared" ca="1" si="76"/>
        <v>2143677.0833333335</v>
      </c>
      <c r="N322" s="961">
        <f t="shared" ca="1" si="76"/>
        <v>1921341.1458333335</v>
      </c>
      <c r="O322" s="961">
        <f t="shared" ca="1" si="76"/>
        <v>1765714.1927083335</v>
      </c>
      <c r="P322" s="961">
        <f t="shared" ca="1" si="76"/>
        <v>1589806.4778645835</v>
      </c>
      <c r="Q322" s="362">
        <f t="shared" ca="1" si="76"/>
        <v>0</v>
      </c>
      <c r="R322" s="381"/>
      <c r="S322" s="319" t="s">
        <v>644</v>
      </c>
    </row>
    <row r="323" spans="1:19" ht="11.25" hidden="1" customHeight="1" x14ac:dyDescent="0.35">
      <c r="A323" s="383"/>
      <c r="B323" s="386" t="s">
        <v>652</v>
      </c>
      <c r="C323" s="387"/>
      <c r="D323" s="1192"/>
      <c r="E323" s="324" t="s">
        <v>653</v>
      </c>
      <c r="F323" s="971"/>
      <c r="G323" s="973"/>
      <c r="H323" s="973"/>
      <c r="I323" s="973"/>
      <c r="J323" s="973"/>
      <c r="K323" s="973"/>
      <c r="L323" s="973"/>
      <c r="M323" s="973"/>
      <c r="N323" s="973"/>
      <c r="O323" s="973"/>
      <c r="P323" s="973"/>
      <c r="Q323" s="968"/>
      <c r="R323" s="381"/>
      <c r="S323" s="319" t="s">
        <v>644</v>
      </c>
    </row>
    <row r="324" spans="1:19" ht="11.25" hidden="1" customHeight="1" x14ac:dyDescent="0.35">
      <c r="A324" s="383"/>
      <c r="B324" s="388" t="s">
        <v>645</v>
      </c>
      <c r="C324" s="387"/>
      <c r="D324" s="1192"/>
      <c r="E324" s="324" t="s">
        <v>654</v>
      </c>
      <c r="F324" s="971"/>
      <c r="G324" s="973">
        <f t="shared" ref="G324:Q324" si="77">IF(OR(AND(G$5=0,NoZeroCol=1),AND(G$5=-99,NoResCol=1)),0,+G$26+G$36+G$46+G$56+G$66+G$76+G$86+G$96+G$106+G$116+G$126+G$136+G$146+G$156+G$166+G$176+G$186+G$196+G$206+G$216+G$226+G$236+G$246+G$256+G$266+G$276+G$286+G$296+G$306+G$316-G$326)</f>
        <v>0</v>
      </c>
      <c r="H324" s="973">
        <f t="shared" si="77"/>
        <v>0</v>
      </c>
      <c r="I324" s="973">
        <f t="shared" si="77"/>
        <v>0</v>
      </c>
      <c r="J324" s="973">
        <f t="shared" si="77"/>
        <v>0</v>
      </c>
      <c r="K324" s="973">
        <f t="shared" si="77"/>
        <v>0</v>
      </c>
      <c r="L324" s="973">
        <f t="shared" si="77"/>
        <v>0</v>
      </c>
      <c r="M324" s="973">
        <f t="shared" si="77"/>
        <v>0</v>
      </c>
      <c r="N324" s="973">
        <f t="shared" si="77"/>
        <v>0</v>
      </c>
      <c r="O324" s="973">
        <f t="shared" si="77"/>
        <v>0</v>
      </c>
      <c r="P324" s="973">
        <f t="shared" si="77"/>
        <v>0</v>
      </c>
      <c r="Q324" s="968">
        <f t="shared" ca="1" si="77"/>
        <v>2835000</v>
      </c>
      <c r="R324" s="381"/>
      <c r="S324" s="319" t="s">
        <v>71</v>
      </c>
    </row>
    <row r="325" spans="1:19" ht="11.25" hidden="1" customHeight="1" x14ac:dyDescent="0.35">
      <c r="A325" s="383"/>
      <c r="B325" s="388" t="s">
        <v>67</v>
      </c>
      <c r="C325" s="387"/>
      <c r="D325" s="1192"/>
      <c r="E325" s="324" t="s">
        <v>655</v>
      </c>
      <c r="F325" s="971">
        <f t="shared" ref="F325:P325" ca="1" si="78">IF(OR(AND(F$5=0,NoZeroCol=1),AND(F$5=-99,NoResCol=1)),0,+OFFSET(F$25,-1,0)+OFFSET(F$35,-1,0)+OFFSET(F$45,-1,0)+OFFSET(F$55,-1,0)+OFFSET(F$65,-1,0)+OFFSET(F$75,-1,0)+OFFSET(F$85,-1,0)+OFFSET(F$95,-1,0)+OFFSET(F$105,-1,0)+OFFSET(F$115,-1,0)+OFFSET(F$125,-1,0)+OFFSET(F$135,-1,0)+OFFSET(F$145,-1,0)+OFFSET(F$155,-1,0)+OFFSET(F$165,-1,0)+OFFSET(F$175,-1,0)+OFFSET(F$185,-1,0)+OFFSET(F$195,-1,0)+OFFSET(F$205,-1,0)+OFFSET(F$215,-1,0)+OFFSET(F$225,-1,0)+OFFSET(F$235,-1,0)+OFFSET(F$245,-1,0)+OFFSET(F$255,-1,0)+OFFSET(F$265,-1,0)+OFFSET(F$275,-1,0)+OFFSET(F$285,-1,0)+OFFSET(F$295,-1,0)+OFFSET(F$305,-1,0)+OFFSET(F$315,-1,0))</f>
        <v>0</v>
      </c>
      <c r="G325" s="974">
        <f t="shared" ca="1" si="78"/>
        <v>0</v>
      </c>
      <c r="H325" s="974">
        <f t="shared" ca="1" si="78"/>
        <v>0</v>
      </c>
      <c r="I325" s="974">
        <f t="shared" ca="1" si="78"/>
        <v>0</v>
      </c>
      <c r="J325" s="974">
        <f t="shared" ca="1" si="78"/>
        <v>0</v>
      </c>
      <c r="K325" s="974">
        <f t="shared" ca="1" si="78"/>
        <v>0</v>
      </c>
      <c r="L325" s="974">
        <f t="shared" ca="1" si="78"/>
        <v>0</v>
      </c>
      <c r="M325" s="974">
        <f t="shared" ca="1" si="78"/>
        <v>0</v>
      </c>
      <c r="N325" s="974">
        <f t="shared" ca="1" si="78"/>
        <v>0</v>
      </c>
      <c r="O325" s="974">
        <f t="shared" ca="1" si="78"/>
        <v>0</v>
      </c>
      <c r="P325" s="974">
        <f t="shared" ca="1" si="78"/>
        <v>0</v>
      </c>
      <c r="Q325" s="969"/>
      <c r="R325" s="381"/>
      <c r="S325" s="319" t="s">
        <v>71</v>
      </c>
    </row>
    <row r="326" spans="1:19" ht="11.25" hidden="1" customHeight="1" x14ac:dyDescent="0.35">
      <c r="A326" s="383"/>
      <c r="B326" s="389" t="s">
        <v>649</v>
      </c>
      <c r="C326" s="390"/>
      <c r="D326" s="1193"/>
      <c r="E326" s="385" t="s">
        <v>656</v>
      </c>
      <c r="F326" s="961"/>
      <c r="G326" s="965">
        <f t="shared" ref="G326:Q326" si="79">IF(OR(AND(G$5=0,NoZeroCol=1),AND(G$5=-99,NoResCol=1)),0,+G$27+G$37+G$47+G$57+G$67+G$77+G$87+G$97+G$107+G$117+G$127+G$137+G$147+G$157+G$167+G$177+G$187+G$197+G$207+G$217+G$227+G$237+G$247+G$257+G$267+G$277+G$287+G$297+G$307+G$317)</f>
        <v>0</v>
      </c>
      <c r="H326" s="965">
        <f t="shared" si="79"/>
        <v>0</v>
      </c>
      <c r="I326" s="965">
        <f t="shared" si="79"/>
        <v>0</v>
      </c>
      <c r="J326" s="965">
        <f t="shared" si="79"/>
        <v>0</v>
      </c>
      <c r="K326" s="965">
        <f t="shared" si="79"/>
        <v>0</v>
      </c>
      <c r="L326" s="965">
        <f t="shared" si="79"/>
        <v>0</v>
      </c>
      <c r="M326" s="965">
        <f t="shared" si="79"/>
        <v>0</v>
      </c>
      <c r="N326" s="965">
        <f t="shared" si="79"/>
        <v>0</v>
      </c>
      <c r="O326" s="965">
        <f t="shared" si="79"/>
        <v>0</v>
      </c>
      <c r="P326" s="965">
        <f t="shared" si="79"/>
        <v>0</v>
      </c>
      <c r="Q326" s="963">
        <f t="shared" ca="1" si="79"/>
        <v>-2312500</v>
      </c>
      <c r="R326" s="381"/>
      <c r="S326" s="319" t="s">
        <v>71</v>
      </c>
    </row>
    <row r="327" spans="1:19" ht="11.25" hidden="1" customHeight="1" x14ac:dyDescent="0.35">
      <c r="A327" s="383"/>
      <c r="B327" s="389" t="s">
        <v>90</v>
      </c>
      <c r="C327" s="390"/>
      <c r="D327" s="1193"/>
      <c r="E327" s="385" t="s">
        <v>657</v>
      </c>
      <c r="F327" s="961">
        <f t="shared" ref="F327:Q327" si="80">+F$25+F$35+F$45+F$55+F$65+F$75+F$85+F$95+F$105+F$115+F$125+F$135+F$145+F$155+F$165+F$175+F$185+F$195+F$205+F$215+F$225+F$235+F$245+F$255+F$265+F$275+F$285+F$295+F$305+F$315</f>
        <v>0</v>
      </c>
      <c r="G327" s="964">
        <f t="shared" ca="1" si="80"/>
        <v>0</v>
      </c>
      <c r="H327" s="964">
        <f t="shared" ca="1" si="80"/>
        <v>1500000</v>
      </c>
      <c r="I327" s="964">
        <f t="shared" ca="1" si="80"/>
        <v>2000000</v>
      </c>
      <c r="J327" s="964">
        <f t="shared" ca="1" si="80"/>
        <v>2350000</v>
      </c>
      <c r="K327" s="964">
        <f t="shared" ca="1" si="80"/>
        <v>2700000</v>
      </c>
      <c r="L327" s="964">
        <f t="shared" ca="1" si="80"/>
        <v>2700000</v>
      </c>
      <c r="M327" s="964">
        <f t="shared" ca="1" si="80"/>
        <v>2790000</v>
      </c>
      <c r="N327" s="964">
        <f t="shared" ca="1" si="80"/>
        <v>2790000</v>
      </c>
      <c r="O327" s="964">
        <f t="shared" ca="1" si="80"/>
        <v>2835000</v>
      </c>
      <c r="P327" s="964">
        <f t="shared" ca="1" si="80"/>
        <v>2835000</v>
      </c>
      <c r="Q327" s="374">
        <f t="shared" ca="1" si="80"/>
        <v>0</v>
      </c>
      <c r="R327" s="381"/>
      <c r="S327" s="319" t="s">
        <v>644</v>
      </c>
    </row>
    <row r="328" spans="1:19" ht="5.15" hidden="1" customHeight="1" x14ac:dyDescent="0.35">
      <c r="A328" s="331"/>
      <c r="B328" s="324"/>
      <c r="C328" s="324"/>
      <c r="D328" s="391"/>
      <c r="E328" s="392" t="s">
        <v>39</v>
      </c>
      <c r="F328" s="317"/>
      <c r="G328" s="383"/>
      <c r="H328" s="383"/>
      <c r="I328" s="383"/>
      <c r="J328" s="383"/>
      <c r="K328" s="383"/>
      <c r="L328" s="383"/>
      <c r="M328" s="383"/>
      <c r="N328" s="383"/>
      <c r="O328" s="383"/>
      <c r="P328" s="383"/>
      <c r="Q328" s="383"/>
      <c r="R328" s="321"/>
      <c r="S328" s="319" t="s">
        <v>658</v>
      </c>
    </row>
    <row r="329" spans="1:19" ht="11.25" hidden="1" customHeight="1" x14ac:dyDescent="0.35">
      <c r="A329" s="331"/>
      <c r="B329" s="393" t="s">
        <v>659</v>
      </c>
      <c r="C329" s="394"/>
      <c r="D329" s="1169"/>
      <c r="E329" s="380" t="s">
        <v>660</v>
      </c>
      <c r="F329" s="976"/>
      <c r="G329" s="977"/>
      <c r="H329" s="977"/>
      <c r="I329" s="977"/>
      <c r="J329" s="977"/>
      <c r="K329" s="977"/>
      <c r="L329" s="977"/>
      <c r="M329" s="977"/>
      <c r="N329" s="977"/>
      <c r="O329" s="977"/>
      <c r="P329" s="977"/>
      <c r="Q329" s="408"/>
      <c r="R329" s="321"/>
      <c r="S329" s="319" t="s">
        <v>658</v>
      </c>
    </row>
    <row r="330" spans="1:19" ht="11.25" hidden="1" customHeight="1" x14ac:dyDescent="0.35">
      <c r="A330" s="331"/>
      <c r="B330" s="395" t="s">
        <v>661</v>
      </c>
      <c r="C330" s="396"/>
      <c r="D330" s="1173"/>
      <c r="E330" s="324" t="s">
        <v>662</v>
      </c>
      <c r="F330" s="978"/>
      <c r="G330" s="979"/>
      <c r="H330" s="979"/>
      <c r="I330" s="979"/>
      <c r="J330" s="979"/>
      <c r="K330" s="979"/>
      <c r="L330" s="979"/>
      <c r="M330" s="979"/>
      <c r="N330" s="979"/>
      <c r="O330" s="979"/>
      <c r="P330" s="979"/>
      <c r="Q330" s="409"/>
      <c r="R330" s="321"/>
      <c r="S330" s="319" t="s">
        <v>663</v>
      </c>
    </row>
    <row r="331" spans="1:19" ht="11.25" hidden="1" customHeight="1" x14ac:dyDescent="0.35">
      <c r="A331" s="331"/>
      <c r="B331" s="395" t="s">
        <v>664</v>
      </c>
      <c r="C331" s="396"/>
      <c r="D331" s="1173"/>
      <c r="E331" s="324" t="s">
        <v>665</v>
      </c>
      <c r="F331" s="978"/>
      <c r="G331" s="979"/>
      <c r="H331" s="979"/>
      <c r="I331" s="979"/>
      <c r="J331" s="979"/>
      <c r="K331" s="979"/>
      <c r="L331" s="979"/>
      <c r="M331" s="979"/>
      <c r="N331" s="979"/>
      <c r="O331" s="979"/>
      <c r="P331" s="979"/>
      <c r="Q331" s="409"/>
      <c r="R331" s="321"/>
      <c r="S331" s="319" t="s">
        <v>663</v>
      </c>
    </row>
    <row r="332" spans="1:19" ht="11.25" hidden="1" customHeight="1" x14ac:dyDescent="0.35">
      <c r="A332" s="331"/>
      <c r="B332" s="397" t="s">
        <v>666</v>
      </c>
      <c r="C332" s="398"/>
      <c r="D332" s="1170"/>
      <c r="E332" s="385" t="s">
        <v>667</v>
      </c>
      <c r="F332" s="980"/>
      <c r="G332" s="981"/>
      <c r="H332" s="981"/>
      <c r="I332" s="981"/>
      <c r="J332" s="981"/>
      <c r="K332" s="981"/>
      <c r="L332" s="981"/>
      <c r="M332" s="981"/>
      <c r="N332" s="981"/>
      <c r="O332" s="981"/>
      <c r="P332" s="981"/>
      <c r="Q332" s="975"/>
      <c r="R332" s="321"/>
      <c r="S332" s="319" t="s">
        <v>663</v>
      </c>
    </row>
    <row r="333" spans="1:19" ht="11.25" hidden="1" customHeight="1" x14ac:dyDescent="0.35">
      <c r="A333" s="331"/>
      <c r="B333" s="399" t="s">
        <v>668</v>
      </c>
      <c r="C333" s="400"/>
      <c r="D333" s="1174"/>
      <c r="E333" s="337" t="s">
        <v>669</v>
      </c>
      <c r="F333" s="982"/>
      <c r="G333" s="983"/>
      <c r="H333" s="983"/>
      <c r="I333" s="983"/>
      <c r="J333" s="983"/>
      <c r="K333" s="983"/>
      <c r="L333" s="983"/>
      <c r="M333" s="983"/>
      <c r="N333" s="983"/>
      <c r="O333" s="983"/>
      <c r="P333" s="983"/>
      <c r="Q333" s="421"/>
      <c r="R333" s="321"/>
      <c r="S333" s="319" t="s">
        <v>658</v>
      </c>
    </row>
    <row r="334" spans="1:19" ht="5.15" hidden="1" customHeight="1" x14ac:dyDescent="0.35">
      <c r="A334" s="401"/>
      <c r="B334" s="324"/>
      <c r="C334" s="324"/>
      <c r="D334" s="391"/>
      <c r="E334" s="324" t="s">
        <v>39</v>
      </c>
      <c r="F334" s="324"/>
      <c r="G334" s="402"/>
      <c r="H334" s="402"/>
      <c r="I334" s="402"/>
      <c r="J334" s="402"/>
      <c r="K334" s="402"/>
      <c r="L334" s="402"/>
      <c r="M334" s="402"/>
      <c r="N334" s="402"/>
      <c r="O334" s="402"/>
      <c r="P334" s="402"/>
      <c r="Q334" s="402"/>
      <c r="R334" s="321"/>
      <c r="S334" s="319" t="s">
        <v>658</v>
      </c>
    </row>
    <row r="335" spans="1:19" ht="11.25" hidden="1" customHeight="1" x14ac:dyDescent="0.35">
      <c r="A335" s="401"/>
      <c r="B335" s="403" t="s">
        <v>670</v>
      </c>
      <c r="C335" s="404"/>
      <c r="D335" s="1104" t="s">
        <v>671</v>
      </c>
      <c r="E335" s="337" t="s">
        <v>672</v>
      </c>
      <c r="F335" s="950" t="str">
        <f t="shared" ref="F335:Q335" si="81">F$16</f>
        <v>12/2018</v>
      </c>
      <c r="G335" s="951" t="str">
        <f t="shared" si="81"/>
        <v>9/2019</v>
      </c>
      <c r="H335" s="952" t="str">
        <f t="shared" si="81"/>
        <v>9/2019</v>
      </c>
      <c r="I335" s="952" t="str">
        <f t="shared" si="81"/>
        <v>10/2019</v>
      </c>
      <c r="J335" s="952" t="str">
        <f t="shared" si="81"/>
        <v>11/2019</v>
      </c>
      <c r="K335" s="952" t="str">
        <f t="shared" si="81"/>
        <v>12/2019</v>
      </c>
      <c r="L335" s="952" t="str">
        <f t="shared" si="81"/>
        <v>12/2020</v>
      </c>
      <c r="M335" s="952" t="str">
        <f t="shared" si="81"/>
        <v>12/2021</v>
      </c>
      <c r="N335" s="952" t="str">
        <f t="shared" si="81"/>
        <v>12/2022</v>
      </c>
      <c r="O335" s="952" t="str">
        <f t="shared" si="81"/>
        <v>12/2023</v>
      </c>
      <c r="P335" s="952" t="str">
        <f t="shared" si="81"/>
        <v>12/2024</v>
      </c>
      <c r="Q335" s="947" t="str">
        <f t="shared" ca="1" si="81"/>
        <v>Residual</v>
      </c>
      <c r="R335" s="321"/>
      <c r="S335" s="319" t="s">
        <v>658</v>
      </c>
    </row>
    <row r="336" spans="1:19" ht="11.25" hidden="1" customHeight="1" x14ac:dyDescent="0.35">
      <c r="A336" s="401"/>
      <c r="B336" s="405" t="s">
        <v>673</v>
      </c>
      <c r="C336" s="394"/>
      <c r="D336" s="1169"/>
      <c r="E336" s="380" t="s">
        <v>674</v>
      </c>
      <c r="F336" s="985"/>
      <c r="G336" s="977">
        <f t="shared" ref="G336:L336" si="82">-G329</f>
        <v>0</v>
      </c>
      <c r="H336" s="977">
        <f t="shared" si="82"/>
        <v>0</v>
      </c>
      <c r="I336" s="977">
        <f t="shared" si="82"/>
        <v>0</v>
      </c>
      <c r="J336" s="977">
        <f t="shared" si="82"/>
        <v>0</v>
      </c>
      <c r="K336" s="977">
        <f t="shared" si="82"/>
        <v>0</v>
      </c>
      <c r="L336" s="977">
        <f t="shared" si="82"/>
        <v>0</v>
      </c>
      <c r="M336" s="977">
        <f t="shared" ref="M336:N336" si="83">-M329</f>
        <v>0</v>
      </c>
      <c r="N336" s="977">
        <f t="shared" si="83"/>
        <v>0</v>
      </c>
      <c r="O336" s="977">
        <f t="shared" ref="O336:P336" si="84">-O329</f>
        <v>0</v>
      </c>
      <c r="P336" s="977">
        <f t="shared" si="84"/>
        <v>0</v>
      </c>
      <c r="Q336" s="408"/>
      <c r="R336" s="321"/>
      <c r="S336" s="319" t="s">
        <v>663</v>
      </c>
    </row>
    <row r="337" spans="1:19" ht="11.25" hidden="1" customHeight="1" x14ac:dyDescent="0.35">
      <c r="A337" s="401"/>
      <c r="B337" s="397" t="s">
        <v>675</v>
      </c>
      <c r="C337" s="398"/>
      <c r="D337" s="1170"/>
      <c r="E337" s="385" t="s">
        <v>676</v>
      </c>
      <c r="F337" s="986"/>
      <c r="G337" s="987"/>
      <c r="H337" s="987"/>
      <c r="I337" s="987"/>
      <c r="J337" s="987"/>
      <c r="K337" s="987"/>
      <c r="L337" s="987"/>
      <c r="M337" s="987"/>
      <c r="N337" s="987"/>
      <c r="O337" s="987"/>
      <c r="P337" s="987"/>
      <c r="Q337" s="975"/>
      <c r="R337" s="321"/>
      <c r="S337" s="319" t="s">
        <v>663</v>
      </c>
    </row>
    <row r="338" spans="1:19" ht="11.25" hidden="1" customHeight="1" x14ac:dyDescent="0.35">
      <c r="A338" s="401"/>
      <c r="B338" s="406" t="s">
        <v>677</v>
      </c>
      <c r="C338" s="380"/>
      <c r="D338" s="1171"/>
      <c r="E338" s="380" t="s">
        <v>678</v>
      </c>
      <c r="F338" s="988"/>
      <c r="G338" s="989"/>
      <c r="H338" s="989">
        <f t="shared" ref="H338:P338" ca="1" si="85">OFFSET(H$800,0,-1)</f>
        <v>0</v>
      </c>
      <c r="I338" s="989">
        <f t="shared" ca="1" si="85"/>
        <v>0</v>
      </c>
      <c r="J338" s="989">
        <f t="shared" ca="1" si="85"/>
        <v>0</v>
      </c>
      <c r="K338" s="989">
        <f t="shared" ca="1" si="85"/>
        <v>0</v>
      </c>
      <c r="L338" s="989">
        <f t="shared" ca="1" si="85"/>
        <v>0</v>
      </c>
      <c r="M338" s="989">
        <f t="shared" ca="1" si="85"/>
        <v>0</v>
      </c>
      <c r="N338" s="989">
        <f t="shared" ca="1" si="85"/>
        <v>0</v>
      </c>
      <c r="O338" s="989">
        <f t="shared" ca="1" si="85"/>
        <v>0</v>
      </c>
      <c r="P338" s="989">
        <f t="shared" ca="1" si="85"/>
        <v>0</v>
      </c>
      <c r="Q338" s="984"/>
      <c r="R338" s="321"/>
      <c r="S338" s="319" t="s">
        <v>679</v>
      </c>
    </row>
    <row r="339" spans="1:19" ht="11.25" hidden="1" customHeight="1" x14ac:dyDescent="0.35">
      <c r="A339" s="401"/>
      <c r="B339" s="382" t="s">
        <v>680</v>
      </c>
      <c r="C339" s="324"/>
      <c r="D339" s="1137"/>
      <c r="E339" s="324" t="s">
        <v>681</v>
      </c>
      <c r="F339" s="990"/>
      <c r="G339" s="991"/>
      <c r="H339" s="991">
        <f t="shared" ref="H339:P339" ca="1" si="86">OFFSET(H$801,0,-1)</f>
        <v>0</v>
      </c>
      <c r="I339" s="991">
        <f t="shared" ca="1" si="86"/>
        <v>0</v>
      </c>
      <c r="J339" s="991">
        <f t="shared" ca="1" si="86"/>
        <v>0</v>
      </c>
      <c r="K339" s="991">
        <f t="shared" ca="1" si="86"/>
        <v>0</v>
      </c>
      <c r="L339" s="991">
        <f t="shared" ca="1" si="86"/>
        <v>0</v>
      </c>
      <c r="M339" s="991">
        <f t="shared" ca="1" si="86"/>
        <v>0</v>
      </c>
      <c r="N339" s="991">
        <f t="shared" ca="1" si="86"/>
        <v>0</v>
      </c>
      <c r="O339" s="991">
        <f t="shared" ca="1" si="86"/>
        <v>0</v>
      </c>
      <c r="P339" s="991">
        <f t="shared" ca="1" si="86"/>
        <v>0</v>
      </c>
      <c r="Q339" s="967"/>
      <c r="R339" s="321"/>
      <c r="S339" s="319" t="s">
        <v>679</v>
      </c>
    </row>
    <row r="340" spans="1:19" ht="11.25" hidden="1" customHeight="1" x14ac:dyDescent="0.35">
      <c r="A340" s="401"/>
      <c r="B340" s="382" t="s">
        <v>682</v>
      </c>
      <c r="C340" s="324"/>
      <c r="D340" s="1137"/>
      <c r="E340" s="324" t="s">
        <v>683</v>
      </c>
      <c r="F340" s="990"/>
      <c r="G340" s="991"/>
      <c r="H340" s="991">
        <f t="shared" ref="H340:P340" ca="1" si="87">OFFSET(H$802,0,-1)</f>
        <v>0</v>
      </c>
      <c r="I340" s="991">
        <f t="shared" ca="1" si="87"/>
        <v>0</v>
      </c>
      <c r="J340" s="991">
        <f t="shared" ca="1" si="87"/>
        <v>0</v>
      </c>
      <c r="K340" s="991">
        <f t="shared" ca="1" si="87"/>
        <v>0</v>
      </c>
      <c r="L340" s="991">
        <f t="shared" ca="1" si="87"/>
        <v>0</v>
      </c>
      <c r="M340" s="991">
        <f t="shared" ca="1" si="87"/>
        <v>0</v>
      </c>
      <c r="N340" s="991">
        <f t="shared" ca="1" si="87"/>
        <v>0</v>
      </c>
      <c r="O340" s="991">
        <f t="shared" ca="1" si="87"/>
        <v>0</v>
      </c>
      <c r="P340" s="991">
        <f t="shared" ca="1" si="87"/>
        <v>0</v>
      </c>
      <c r="Q340" s="967"/>
      <c r="R340" s="321"/>
      <c r="S340" s="319" t="s">
        <v>679</v>
      </c>
    </row>
    <row r="341" spans="1:19" ht="11.25" hidden="1" customHeight="1" x14ac:dyDescent="0.35">
      <c r="A341" s="401"/>
      <c r="B341" s="382" t="s">
        <v>684</v>
      </c>
      <c r="C341" s="324"/>
      <c r="D341" s="1137"/>
      <c r="E341" s="324" t="s">
        <v>685</v>
      </c>
      <c r="F341" s="990"/>
      <c r="G341" s="991"/>
      <c r="H341" s="991">
        <f t="shared" ref="H341:P341" ca="1" si="88">OFFSET(H$803,0,-1)</f>
        <v>0</v>
      </c>
      <c r="I341" s="991">
        <f t="shared" ca="1" si="88"/>
        <v>0</v>
      </c>
      <c r="J341" s="991">
        <f t="shared" ca="1" si="88"/>
        <v>0</v>
      </c>
      <c r="K341" s="991">
        <f t="shared" ca="1" si="88"/>
        <v>0</v>
      </c>
      <c r="L341" s="991">
        <f t="shared" ca="1" si="88"/>
        <v>0</v>
      </c>
      <c r="M341" s="991">
        <f t="shared" ca="1" si="88"/>
        <v>205686.79321228538</v>
      </c>
      <c r="N341" s="991">
        <f t="shared" ca="1" si="88"/>
        <v>1416703.0061200284</v>
      </c>
      <c r="O341" s="991">
        <f t="shared" ca="1" si="88"/>
        <v>3363970.1169320135</v>
      </c>
      <c r="P341" s="991">
        <f t="shared" ca="1" si="88"/>
        <v>6212950.5151766948</v>
      </c>
      <c r="Q341" s="967"/>
      <c r="R341" s="321"/>
      <c r="S341" s="319" t="s">
        <v>679</v>
      </c>
    </row>
    <row r="342" spans="1:19" ht="11.25" hidden="1" customHeight="1" x14ac:dyDescent="0.35">
      <c r="A342" s="401"/>
      <c r="B342" s="382" t="s">
        <v>686</v>
      </c>
      <c r="C342" s="324"/>
      <c r="D342" s="1137"/>
      <c r="E342" s="324" t="s">
        <v>687</v>
      </c>
      <c r="F342" s="990"/>
      <c r="G342" s="991"/>
      <c r="H342" s="991">
        <f t="shared" ref="H342:P342" ca="1" si="89">OFFSET(H$804,0,-1)</f>
        <v>0</v>
      </c>
      <c r="I342" s="991">
        <f t="shared" ca="1" si="89"/>
        <v>81833.333333333328</v>
      </c>
      <c r="J342" s="991">
        <f t="shared" ca="1" si="89"/>
        <v>146001.91508861113</v>
      </c>
      <c r="K342" s="991">
        <f t="shared" ca="1" si="89"/>
        <v>213921.54642033752</v>
      </c>
      <c r="L342" s="991">
        <f t="shared" ca="1" si="89"/>
        <v>205686.79321228538</v>
      </c>
      <c r="M342" s="991">
        <f t="shared" ca="1" si="89"/>
        <v>1211016.2129077429</v>
      </c>
      <c r="N342" s="991">
        <f t="shared" ca="1" si="89"/>
        <v>1947267.1108119851</v>
      </c>
      <c r="O342" s="991">
        <f t="shared" ca="1" si="89"/>
        <v>2848980.3982446818</v>
      </c>
      <c r="P342" s="991">
        <f t="shared" ca="1" si="89"/>
        <v>3930449.8784747329</v>
      </c>
      <c r="Q342" s="967"/>
      <c r="R342" s="321"/>
      <c r="S342" s="319" t="s">
        <v>679</v>
      </c>
    </row>
    <row r="343" spans="1:19" ht="11.25" hidden="1" customHeight="1" x14ac:dyDescent="0.35">
      <c r="A343" s="401"/>
      <c r="B343" s="384" t="s">
        <v>688</v>
      </c>
      <c r="C343" s="385"/>
      <c r="D343" s="1172"/>
      <c r="E343" s="385" t="s">
        <v>689</v>
      </c>
      <c r="F343" s="992"/>
      <c r="G343" s="993"/>
      <c r="H343" s="993">
        <f t="shared" ref="H343:P343" ca="1" si="90">OFFSET(H$806,0,-1)+OFFSET(H$807,0,-1)</f>
        <v>0</v>
      </c>
      <c r="I343" s="993">
        <f t="shared" ca="1" si="90"/>
        <v>0</v>
      </c>
      <c r="J343" s="993">
        <f t="shared" ca="1" si="90"/>
        <v>0</v>
      </c>
      <c r="K343" s="993">
        <f t="shared" ca="1" si="90"/>
        <v>0</v>
      </c>
      <c r="L343" s="993">
        <f t="shared" ca="1" si="90"/>
        <v>0</v>
      </c>
      <c r="M343" s="993">
        <f t="shared" ca="1" si="90"/>
        <v>0</v>
      </c>
      <c r="N343" s="993">
        <f t="shared" ca="1" si="90"/>
        <v>0</v>
      </c>
      <c r="O343" s="993">
        <f t="shared" ca="1" si="90"/>
        <v>0</v>
      </c>
      <c r="P343" s="993">
        <f t="shared" ca="1" si="90"/>
        <v>0</v>
      </c>
      <c r="Q343" s="407"/>
      <c r="R343" s="321"/>
      <c r="S343" s="319" t="s">
        <v>679</v>
      </c>
    </row>
    <row r="344" spans="1:19" ht="12" hidden="1" customHeight="1" x14ac:dyDescent="0.35">
      <c r="A344" s="401"/>
      <c r="B344" s="405" t="s">
        <v>690</v>
      </c>
      <c r="C344" s="394"/>
      <c r="D344" s="1169"/>
      <c r="E344" s="380" t="s">
        <v>691</v>
      </c>
      <c r="F344" s="985"/>
      <c r="G344" s="977">
        <f ca="1">IF(OR(AND(G$5=0,NoZeroCol=1),AND(G$5=-99,NoResCol=1)),0,IF(SUM(OFFSET($G$336,1,0):OFFSET($E$336,1,G$8))&gt;=50,IF(G336&lt;&gt;0,G336-(OFFSET(G336,1,0)/100)*(SUM(G338:G342)+OFFSET($E$343,0,G$8)*(1-TaxRateM)),0),0))</f>
        <v>0</v>
      </c>
      <c r="H344" s="977">
        <f ca="1">IF(OR(AND(H$5=0,NoZeroCol=1),AND(H$5=-99,NoResCol=1)),0,IF(SUM(OFFSET($G$336,1,0):OFFSET($E$336,1,H$8))&gt;=50,IF(H336&lt;&gt;0,H336-(OFFSET(H336,1,0)/100)*(SUM(H338:H342)+OFFSET($E$343,0,H$8)*(1-TaxRateM)),0),0))</f>
        <v>0</v>
      </c>
      <c r="I344" s="977">
        <f ca="1">IF(OR(AND(I$5=0,NoZeroCol=1),AND(I$5=-99,NoResCol=1)),0,IF(SUM(OFFSET($G$336,1,0):OFFSET($E$336,1,I$8))&gt;=50,IF(I336&lt;&gt;0,I336-(OFFSET(I336,1,0)/100)*(SUM(I338:I342)+OFFSET($E$343,0,I$8)*(1-TaxRateM)),0),0))</f>
        <v>0</v>
      </c>
      <c r="J344" s="977">
        <f ca="1">IF(OR(AND(J$5=0,NoZeroCol=1),AND(J$5=-99,NoResCol=1)),0,IF(SUM(OFFSET($G$336,1,0):OFFSET($E$336,1,J$8))&gt;=50,IF(J336&lt;&gt;0,J336-(OFFSET(J336,1,0)/100)*(SUM(J338:J342)+OFFSET($E$343,0,J$8)*(1-TaxRateM)),0),0))</f>
        <v>0</v>
      </c>
      <c r="K344" s="977">
        <f ca="1">IF(OR(AND(K$5=0,NoZeroCol=1),AND(K$5=-99,NoResCol=1)),0,IF(SUM(OFFSET($G$336,1,0):OFFSET($E$336,1,K$8))&gt;=50,IF(K336&lt;&gt;0,K336-(OFFSET(K336,1,0)/100)*(SUM(K338:K342)+OFFSET($E$343,0,K$8)*(1-TaxRateM)),0),0))</f>
        <v>0</v>
      </c>
      <c r="L344" s="977">
        <f ca="1">IF(OR(AND(L$5=0,NoZeroCol=1),AND(L$5=-99,NoResCol=1)),0,IF(SUM(OFFSET($G$336,1,0):OFFSET($E$336,1,L$8))&gt;=50,IF(L336&lt;&gt;0,L336-(OFFSET(L336,1,0)/100)*(SUM(L338:L342)+OFFSET($E$343,0,L$8)*(1-TaxRateM)),0),0))</f>
        <v>0</v>
      </c>
      <c r="M344" s="977">
        <f ca="1">IF(OR(AND(M$5=0,NoZeroCol=1),AND(M$5=-99,NoResCol=1)),0,IF(SUM(OFFSET($G$336,1,0):OFFSET($E$336,1,M$8))&gt;=50,IF(M336&lt;&gt;0,M336-(OFFSET(M336,1,0)/100)*(SUM(M338:M342)+OFFSET($E$343,0,M$8)*(1-TaxRateM)),0),0))</f>
        <v>0</v>
      </c>
      <c r="N344" s="977">
        <f ca="1">IF(OR(AND(N$5=0,NoZeroCol=1),AND(N$5=-99,NoResCol=1)),0,IF(SUM(OFFSET($G$336,1,0):OFFSET($E$336,1,N$8))&gt;=50,IF(N336&lt;&gt;0,N336-(OFFSET(N336,1,0)/100)*(SUM(N338:N342)+OFFSET($E$343,0,N$8)*(1-TaxRateM)),0),0))</f>
        <v>0</v>
      </c>
      <c r="O344" s="977">
        <f ca="1">IF(OR(AND(O$5=0,NoZeroCol=1),AND(O$5=-99,NoResCol=1)),0,IF(SUM(OFFSET($G$336,1,0):OFFSET($E$336,1,O$8))&gt;=50,IF(O336&lt;&gt;0,O336-(OFFSET(O336,1,0)/100)*(SUM(O338:O342)+OFFSET($E$343,0,O$8)*(1-TaxRateM)),0),0))</f>
        <v>0</v>
      </c>
      <c r="P344" s="977">
        <f ca="1">IF(OR(AND(P$5=0,NoZeroCol=1),AND(P$5=-99,NoResCol=1)),0,IF(SUM(OFFSET($G$336,1,0):OFFSET($E$336,1,P$8))&gt;=50,IF(P336&lt;&gt;0,P336-(OFFSET(P336,1,0)/100)*(SUM(P338:P342)+OFFSET($E$343,0,P$8)*(1-TaxRateM)),0),0))</f>
        <v>0</v>
      </c>
      <c r="Q344" s="408"/>
      <c r="R344" s="321"/>
      <c r="S344" s="319" t="s">
        <v>663</v>
      </c>
    </row>
    <row r="345" spans="1:19" ht="11.25" hidden="1" customHeight="1" x14ac:dyDescent="0.35">
      <c r="A345" s="401"/>
      <c r="B345" s="395" t="s">
        <v>692</v>
      </c>
      <c r="C345" s="396"/>
      <c r="D345" s="1173"/>
      <c r="E345" s="317" t="s">
        <v>693</v>
      </c>
      <c r="F345" s="994"/>
      <c r="G345" s="991"/>
      <c r="H345" s="991">
        <f t="shared" ref="H345:L345" ca="1" si="91">IF(GWtype=2,(H344/(1-TaxRateM))*TaxRateM,0)</f>
        <v>0</v>
      </c>
      <c r="I345" s="991">
        <f t="shared" ca="1" si="91"/>
        <v>0</v>
      </c>
      <c r="J345" s="991">
        <f t="shared" ca="1" si="91"/>
        <v>0</v>
      </c>
      <c r="K345" s="991">
        <f t="shared" ca="1" si="91"/>
        <v>0</v>
      </c>
      <c r="L345" s="991">
        <f t="shared" ca="1" si="91"/>
        <v>0</v>
      </c>
      <c r="M345" s="991">
        <f t="shared" ref="M345:N345" ca="1" si="92">IF(GWtype=2,(M344/(1-TaxRateM))*TaxRateM,0)</f>
        <v>0</v>
      </c>
      <c r="N345" s="991">
        <f t="shared" ca="1" si="92"/>
        <v>0</v>
      </c>
      <c r="O345" s="991">
        <f t="shared" ref="O345:P345" ca="1" si="93">IF(GWtype=2,(O344/(1-TaxRateM))*TaxRateM,0)</f>
        <v>0</v>
      </c>
      <c r="P345" s="991">
        <f t="shared" ca="1" si="93"/>
        <v>0</v>
      </c>
      <c r="Q345" s="409"/>
      <c r="R345" s="321"/>
      <c r="S345" s="319" t="s">
        <v>663</v>
      </c>
    </row>
    <row r="346" spans="1:19" ht="11.25" hidden="1" customHeight="1" x14ac:dyDescent="0.35">
      <c r="A346" s="401"/>
      <c r="B346" s="399" t="s">
        <v>694</v>
      </c>
      <c r="C346" s="400"/>
      <c r="D346" s="1174"/>
      <c r="E346" s="392" t="s">
        <v>695</v>
      </c>
      <c r="F346" s="995"/>
      <c r="G346" s="983">
        <f t="shared" ref="G346:L346" ca="1" si="94">G344+OFFSET($E$345,0,G$8)</f>
        <v>0</v>
      </c>
      <c r="H346" s="983">
        <f t="shared" ca="1" si="94"/>
        <v>0</v>
      </c>
      <c r="I346" s="983">
        <f t="shared" ca="1" si="94"/>
        <v>0</v>
      </c>
      <c r="J346" s="983">
        <f t="shared" ca="1" si="94"/>
        <v>0</v>
      </c>
      <c r="K346" s="983">
        <f t="shared" ca="1" si="94"/>
        <v>0</v>
      </c>
      <c r="L346" s="983">
        <f t="shared" ca="1" si="94"/>
        <v>0</v>
      </c>
      <c r="M346" s="983">
        <f t="shared" ref="M346:N346" ca="1" si="95">M344+OFFSET($E$345,0,M$8)</f>
        <v>0</v>
      </c>
      <c r="N346" s="983">
        <f t="shared" ca="1" si="95"/>
        <v>0</v>
      </c>
      <c r="O346" s="983">
        <f t="shared" ref="O346:P346" ca="1" si="96">O344+OFFSET($E$345,0,O$8)</f>
        <v>0</v>
      </c>
      <c r="P346" s="983">
        <f t="shared" ca="1" si="96"/>
        <v>0</v>
      </c>
      <c r="Q346" s="409"/>
      <c r="R346" s="321"/>
      <c r="S346" s="319" t="s">
        <v>663</v>
      </c>
    </row>
    <row r="347" spans="1:19" ht="11.25" hidden="1" customHeight="1" x14ac:dyDescent="0.35">
      <c r="A347" s="331" t="s">
        <v>696</v>
      </c>
      <c r="B347" s="395"/>
      <c r="C347" s="410" t="s">
        <v>697</v>
      </c>
      <c r="D347" s="1175"/>
      <c r="E347" s="317" t="s">
        <v>698</v>
      </c>
      <c r="F347" s="994"/>
      <c r="G347" s="996">
        <f t="shared" ref="G347:P347" ca="1" si="97">SUMPRODUCT((MID($A$348:$A$384,6,2)="01")*(G$348:G$384))</f>
        <v>0</v>
      </c>
      <c r="H347" s="996">
        <f t="shared" ca="1" si="97"/>
        <v>0</v>
      </c>
      <c r="I347" s="996">
        <f t="shared" ca="1" si="97"/>
        <v>0</v>
      </c>
      <c r="J347" s="996">
        <f t="shared" ca="1" si="97"/>
        <v>0</v>
      </c>
      <c r="K347" s="996">
        <f t="shared" ca="1" si="97"/>
        <v>0</v>
      </c>
      <c r="L347" s="996">
        <f t="shared" ca="1" si="97"/>
        <v>0</v>
      </c>
      <c r="M347" s="996">
        <f t="shared" ca="1" si="97"/>
        <v>0</v>
      </c>
      <c r="N347" s="996">
        <f t="shared" ca="1" si="97"/>
        <v>0</v>
      </c>
      <c r="O347" s="996">
        <f t="shared" ca="1" si="97"/>
        <v>0</v>
      </c>
      <c r="P347" s="996">
        <f t="shared" ca="1" si="97"/>
        <v>0</v>
      </c>
      <c r="Q347" s="409"/>
      <c r="R347" s="321"/>
      <c r="S347" s="319" t="s">
        <v>663</v>
      </c>
    </row>
    <row r="348" spans="1:19" ht="11.25" hidden="1" customHeight="1" x14ac:dyDescent="0.35">
      <c r="A348" s="331" t="s">
        <v>696</v>
      </c>
      <c r="B348" s="395"/>
      <c r="C348" s="411"/>
      <c r="D348" s="1175"/>
      <c r="E348" s="324" t="s">
        <v>699</v>
      </c>
      <c r="F348" s="994"/>
      <c r="G348" s="996"/>
      <c r="H348" s="996"/>
      <c r="I348" s="996"/>
      <c r="J348" s="996"/>
      <c r="K348" s="996"/>
      <c r="L348" s="996"/>
      <c r="M348" s="996"/>
      <c r="N348" s="996"/>
      <c r="O348" s="996"/>
      <c r="P348" s="996"/>
      <c r="Q348" s="409"/>
      <c r="R348" s="321"/>
      <c r="S348" s="319" t="s">
        <v>700</v>
      </c>
    </row>
    <row r="349" spans="1:19" ht="16" hidden="1" customHeight="1" x14ac:dyDescent="0.35">
      <c r="A349" s="331" t="str">
        <f>"OV01-01"&amp;TEXT(IFRSAlloc01,"-00")</f>
        <v>OV01-01-00</v>
      </c>
      <c r="B349" s="395"/>
      <c r="C349" s="412" t="s">
        <v>701</v>
      </c>
      <c r="D349" s="1176"/>
      <c r="E349" s="413" t="s">
        <v>702</v>
      </c>
      <c r="F349" s="997"/>
      <c r="G349" s="998"/>
      <c r="H349" s="998"/>
      <c r="I349" s="998"/>
      <c r="J349" s="998"/>
      <c r="K349" s="998"/>
      <c r="L349" s="998"/>
      <c r="M349" s="998"/>
      <c r="N349" s="998"/>
      <c r="O349" s="998"/>
      <c r="P349" s="998"/>
      <c r="Q349" s="409"/>
      <c r="R349" s="321"/>
      <c r="S349" s="319" t="s">
        <v>679</v>
      </c>
    </row>
    <row r="350" spans="1:19" ht="16" hidden="1" customHeight="1" x14ac:dyDescent="0.35">
      <c r="A350" s="331" t="str">
        <f>"OV01-02"&amp;TEXT(IFRSAlloc01,"-00")</f>
        <v>OV01-02-00</v>
      </c>
      <c r="B350" s="395"/>
      <c r="C350" s="414" t="s">
        <v>647</v>
      </c>
      <c r="D350" s="1177">
        <v>0</v>
      </c>
      <c r="E350" s="415" t="s">
        <v>703</v>
      </c>
      <c r="F350" s="999"/>
      <c r="G350" s="1000"/>
      <c r="H350" s="1000"/>
      <c r="I350" s="1000"/>
      <c r="J350" s="1000"/>
      <c r="K350" s="1000"/>
      <c r="L350" s="1000"/>
      <c r="M350" s="1000"/>
      <c r="N350" s="1000"/>
      <c r="O350" s="1000"/>
      <c r="P350" s="1000"/>
      <c r="Q350" s="409"/>
      <c r="R350" s="321"/>
      <c r="S350" s="319" t="s">
        <v>679</v>
      </c>
    </row>
    <row r="351" spans="1:19" ht="11.25" hidden="1" customHeight="1" x14ac:dyDescent="0.35">
      <c r="A351" s="331" t="str">
        <f>"OV01-03"&amp;TEXT(IFRSAlloc01,"-00")</f>
        <v>OV01-03-00</v>
      </c>
      <c r="B351" s="395"/>
      <c r="C351" s="416" t="s">
        <v>704</v>
      </c>
      <c r="D351" s="1178"/>
      <c r="E351" s="417" t="s">
        <v>705</v>
      </c>
      <c r="F351" s="1001"/>
      <c r="G351" s="1002">
        <f t="shared" ref="G351:P351" ca="1" si="98">OFFSET(G351,0,-1)+OFFSET(G351,-2,0)+OFFSET(G351,-1,0)</f>
        <v>0</v>
      </c>
      <c r="H351" s="1002">
        <f t="shared" ca="1" si="98"/>
        <v>0</v>
      </c>
      <c r="I351" s="1002">
        <f t="shared" ca="1" si="98"/>
        <v>0</v>
      </c>
      <c r="J351" s="1002">
        <f t="shared" ca="1" si="98"/>
        <v>0</v>
      </c>
      <c r="K351" s="1002">
        <f t="shared" ca="1" si="98"/>
        <v>0</v>
      </c>
      <c r="L351" s="1002">
        <f t="shared" ca="1" si="98"/>
        <v>0</v>
      </c>
      <c r="M351" s="1002">
        <f t="shared" ca="1" si="98"/>
        <v>0</v>
      </c>
      <c r="N351" s="1002">
        <f t="shared" ca="1" si="98"/>
        <v>0</v>
      </c>
      <c r="O351" s="1002">
        <f t="shared" ca="1" si="98"/>
        <v>0</v>
      </c>
      <c r="P351" s="1002">
        <f t="shared" ca="1" si="98"/>
        <v>0</v>
      </c>
      <c r="Q351" s="409"/>
      <c r="R351" s="321"/>
      <c r="S351" s="319" t="s">
        <v>679</v>
      </c>
    </row>
    <row r="352" spans="1:19" ht="16" hidden="1" customHeight="1" x14ac:dyDescent="0.35">
      <c r="A352" s="331" t="str">
        <f>"OV02-01"&amp;TEXT(IFRSAlloc02,"-00")</f>
        <v>OV02-01-00</v>
      </c>
      <c r="B352" s="395"/>
      <c r="C352" s="412" t="str">
        <f>$C$349</f>
        <v xml:space="preserve">Amount allocated on </v>
      </c>
      <c r="D352" s="1176"/>
      <c r="E352" s="413" t="s">
        <v>706</v>
      </c>
      <c r="F352" s="997"/>
      <c r="G352" s="998"/>
      <c r="H352" s="998"/>
      <c r="I352" s="998"/>
      <c r="J352" s="998"/>
      <c r="K352" s="998"/>
      <c r="L352" s="998"/>
      <c r="M352" s="998"/>
      <c r="N352" s="998"/>
      <c r="O352" s="998"/>
      <c r="P352" s="998"/>
      <c r="Q352" s="409"/>
      <c r="R352" s="321"/>
      <c r="S352" s="319" t="s">
        <v>707</v>
      </c>
    </row>
    <row r="353" spans="1:19" ht="16" hidden="1" customHeight="1" x14ac:dyDescent="0.35">
      <c r="A353" s="331" t="str">
        <f>"OV02-02"&amp;TEXT(IFRSAlloc02,"-00")</f>
        <v>OV02-02-00</v>
      </c>
      <c r="B353" s="395"/>
      <c r="C353" s="414" t="str">
        <f>$C$350</f>
        <v>Depreciation</v>
      </c>
      <c r="D353" s="1177">
        <v>0</v>
      </c>
      <c r="E353" s="415" t="s">
        <v>708</v>
      </c>
      <c r="F353" s="999"/>
      <c r="G353" s="1000"/>
      <c r="H353" s="1000"/>
      <c r="I353" s="1000"/>
      <c r="J353" s="1000"/>
      <c r="K353" s="1000"/>
      <c r="L353" s="1000"/>
      <c r="M353" s="1000"/>
      <c r="N353" s="1000"/>
      <c r="O353" s="1000"/>
      <c r="P353" s="1000"/>
      <c r="Q353" s="409"/>
      <c r="R353" s="321"/>
      <c r="S353" s="319" t="s">
        <v>707</v>
      </c>
    </row>
    <row r="354" spans="1:19" ht="11.25" hidden="1" customHeight="1" x14ac:dyDescent="0.35">
      <c r="A354" s="331" t="str">
        <f>"OV02-03"&amp;TEXT(IFRSAlloc02,"-00")</f>
        <v>OV02-03-00</v>
      </c>
      <c r="B354" s="395"/>
      <c r="C354" s="416" t="str">
        <f>$C$351</f>
        <v>Balance</v>
      </c>
      <c r="D354" s="1178"/>
      <c r="E354" s="417" t="s">
        <v>709</v>
      </c>
      <c r="F354" s="1001"/>
      <c r="G354" s="1002">
        <f t="shared" ref="G354:P354" ca="1" si="99">OFFSET(G354,0,-1)+OFFSET(G354,-2,0)+OFFSET(G354,-1,0)</f>
        <v>0</v>
      </c>
      <c r="H354" s="1002">
        <f t="shared" ca="1" si="99"/>
        <v>0</v>
      </c>
      <c r="I354" s="1002">
        <f t="shared" ca="1" si="99"/>
        <v>0</v>
      </c>
      <c r="J354" s="1002">
        <f t="shared" ca="1" si="99"/>
        <v>0</v>
      </c>
      <c r="K354" s="1002">
        <f t="shared" ca="1" si="99"/>
        <v>0</v>
      </c>
      <c r="L354" s="1002">
        <f t="shared" ca="1" si="99"/>
        <v>0</v>
      </c>
      <c r="M354" s="1002">
        <f t="shared" ca="1" si="99"/>
        <v>0</v>
      </c>
      <c r="N354" s="1002">
        <f t="shared" ca="1" si="99"/>
        <v>0</v>
      </c>
      <c r="O354" s="1002">
        <f t="shared" ca="1" si="99"/>
        <v>0</v>
      </c>
      <c r="P354" s="1002">
        <f t="shared" ca="1" si="99"/>
        <v>0</v>
      </c>
      <c r="Q354" s="409"/>
      <c r="R354" s="321"/>
      <c r="S354" s="319" t="s">
        <v>707</v>
      </c>
    </row>
    <row r="355" spans="1:19" ht="16" hidden="1" customHeight="1" x14ac:dyDescent="0.35">
      <c r="A355" s="331" t="str">
        <f>"OV03-01"&amp;TEXT(IFRSAlloc03,"-00")</f>
        <v>OV03-01-00</v>
      </c>
      <c r="B355" s="395"/>
      <c r="C355" s="412" t="str">
        <f>$C$349</f>
        <v xml:space="preserve">Amount allocated on </v>
      </c>
      <c r="D355" s="1176"/>
      <c r="E355" s="413" t="s">
        <v>710</v>
      </c>
      <c r="F355" s="997"/>
      <c r="G355" s="998"/>
      <c r="H355" s="998"/>
      <c r="I355" s="998"/>
      <c r="J355" s="998"/>
      <c r="K355" s="998"/>
      <c r="L355" s="998"/>
      <c r="M355" s="998"/>
      <c r="N355" s="998"/>
      <c r="O355" s="998"/>
      <c r="P355" s="998"/>
      <c r="Q355" s="409"/>
      <c r="R355" s="321"/>
      <c r="S355" s="319" t="s">
        <v>707</v>
      </c>
    </row>
    <row r="356" spans="1:19" ht="16" hidden="1" customHeight="1" x14ac:dyDescent="0.35">
      <c r="A356" s="331" t="str">
        <f>"OV03-02"&amp;TEXT(IFRSAlloc03,"-00")</f>
        <v>OV03-02-00</v>
      </c>
      <c r="B356" s="395"/>
      <c r="C356" s="414" t="str">
        <f>$C$350</f>
        <v>Depreciation</v>
      </c>
      <c r="D356" s="1177">
        <v>0</v>
      </c>
      <c r="E356" s="415" t="s">
        <v>711</v>
      </c>
      <c r="F356" s="999"/>
      <c r="G356" s="1000"/>
      <c r="H356" s="1000"/>
      <c r="I356" s="1000"/>
      <c r="J356" s="1000"/>
      <c r="K356" s="1000"/>
      <c r="L356" s="1000"/>
      <c r="M356" s="1000"/>
      <c r="N356" s="1000"/>
      <c r="O356" s="1000"/>
      <c r="P356" s="1000"/>
      <c r="Q356" s="409"/>
      <c r="R356" s="321"/>
      <c r="S356" s="319" t="s">
        <v>707</v>
      </c>
    </row>
    <row r="357" spans="1:19" ht="11.25" hidden="1" customHeight="1" x14ac:dyDescent="0.35">
      <c r="A357" s="331" t="str">
        <f>"OV03-03"&amp;TEXT(IFRSAlloc03,"-00")</f>
        <v>OV03-03-00</v>
      </c>
      <c r="B357" s="395"/>
      <c r="C357" s="416" t="str">
        <f>$C$351</f>
        <v>Balance</v>
      </c>
      <c r="D357" s="1178"/>
      <c r="E357" s="417" t="s">
        <v>712</v>
      </c>
      <c r="F357" s="1001"/>
      <c r="G357" s="1002">
        <f t="shared" ref="G357:P357" ca="1" si="100">OFFSET(G357,0,-1)+OFFSET(G357,-2,0)+OFFSET(G357,-1,0)</f>
        <v>0</v>
      </c>
      <c r="H357" s="1002">
        <f t="shared" ca="1" si="100"/>
        <v>0</v>
      </c>
      <c r="I357" s="1002">
        <f t="shared" ca="1" si="100"/>
        <v>0</v>
      </c>
      <c r="J357" s="1002">
        <f t="shared" ca="1" si="100"/>
        <v>0</v>
      </c>
      <c r="K357" s="1002">
        <f t="shared" ca="1" si="100"/>
        <v>0</v>
      </c>
      <c r="L357" s="1002">
        <f t="shared" ca="1" si="100"/>
        <v>0</v>
      </c>
      <c r="M357" s="1002">
        <f t="shared" ca="1" si="100"/>
        <v>0</v>
      </c>
      <c r="N357" s="1002">
        <f t="shared" ca="1" si="100"/>
        <v>0</v>
      </c>
      <c r="O357" s="1002">
        <f t="shared" ca="1" si="100"/>
        <v>0</v>
      </c>
      <c r="P357" s="1002">
        <f t="shared" ca="1" si="100"/>
        <v>0</v>
      </c>
      <c r="Q357" s="409"/>
      <c r="R357" s="321"/>
      <c r="S357" s="319" t="s">
        <v>707</v>
      </c>
    </row>
    <row r="358" spans="1:19" ht="16" hidden="1" customHeight="1" x14ac:dyDescent="0.35">
      <c r="A358" s="331" t="str">
        <f>"OV04-01"&amp;TEXT(IFRSAlloc04,"-00")</f>
        <v>OV04-01-00</v>
      </c>
      <c r="B358" s="395"/>
      <c r="C358" s="412" t="str">
        <f>$C$349</f>
        <v xml:space="preserve">Amount allocated on </v>
      </c>
      <c r="D358" s="1176"/>
      <c r="E358" s="413" t="s">
        <v>713</v>
      </c>
      <c r="F358" s="997"/>
      <c r="G358" s="998"/>
      <c r="H358" s="998"/>
      <c r="I358" s="998"/>
      <c r="J358" s="998"/>
      <c r="K358" s="998"/>
      <c r="L358" s="998"/>
      <c r="M358" s="998"/>
      <c r="N358" s="998"/>
      <c r="O358" s="998"/>
      <c r="P358" s="998"/>
      <c r="Q358" s="409"/>
      <c r="R358" s="321"/>
      <c r="S358" s="319" t="s">
        <v>707</v>
      </c>
    </row>
    <row r="359" spans="1:19" ht="16" hidden="1" customHeight="1" x14ac:dyDescent="0.35">
      <c r="A359" s="331" t="str">
        <f>"OV04-02"&amp;TEXT(IFRSAlloc04,"-00")</f>
        <v>OV04-02-00</v>
      </c>
      <c r="B359" s="395"/>
      <c r="C359" s="414" t="str">
        <f>$C$350</f>
        <v>Depreciation</v>
      </c>
      <c r="D359" s="1177">
        <v>0</v>
      </c>
      <c r="E359" s="415" t="s">
        <v>714</v>
      </c>
      <c r="F359" s="999"/>
      <c r="G359" s="1000"/>
      <c r="H359" s="1000"/>
      <c r="I359" s="1000"/>
      <c r="J359" s="1000"/>
      <c r="K359" s="1000"/>
      <c r="L359" s="1000"/>
      <c r="M359" s="1000"/>
      <c r="N359" s="1000"/>
      <c r="O359" s="1000"/>
      <c r="P359" s="1000"/>
      <c r="Q359" s="409"/>
      <c r="R359" s="321"/>
      <c r="S359" s="319" t="s">
        <v>707</v>
      </c>
    </row>
    <row r="360" spans="1:19" ht="11.25" hidden="1" customHeight="1" x14ac:dyDescent="0.35">
      <c r="A360" s="331" t="str">
        <f>"OV04-03"&amp;TEXT(IFRSAlloc04,"-00")</f>
        <v>OV04-03-00</v>
      </c>
      <c r="B360" s="395"/>
      <c r="C360" s="416" t="str">
        <f>$C$351</f>
        <v>Balance</v>
      </c>
      <c r="D360" s="1178"/>
      <c r="E360" s="417" t="s">
        <v>715</v>
      </c>
      <c r="F360" s="1001"/>
      <c r="G360" s="1002">
        <f t="shared" ref="G360:P360" ca="1" si="101">OFFSET(G360,0,-1)+OFFSET(G360,-2,0)+OFFSET(G360,-1,0)</f>
        <v>0</v>
      </c>
      <c r="H360" s="1002">
        <f t="shared" ca="1" si="101"/>
        <v>0</v>
      </c>
      <c r="I360" s="1002">
        <f t="shared" ca="1" si="101"/>
        <v>0</v>
      </c>
      <c r="J360" s="1002">
        <f t="shared" ca="1" si="101"/>
        <v>0</v>
      </c>
      <c r="K360" s="1002">
        <f t="shared" ca="1" si="101"/>
        <v>0</v>
      </c>
      <c r="L360" s="1002">
        <f t="shared" ca="1" si="101"/>
        <v>0</v>
      </c>
      <c r="M360" s="1002">
        <f t="shared" ca="1" si="101"/>
        <v>0</v>
      </c>
      <c r="N360" s="1002">
        <f t="shared" ca="1" si="101"/>
        <v>0</v>
      </c>
      <c r="O360" s="1002">
        <f t="shared" ca="1" si="101"/>
        <v>0</v>
      </c>
      <c r="P360" s="1002">
        <f t="shared" ca="1" si="101"/>
        <v>0</v>
      </c>
      <c r="Q360" s="409"/>
      <c r="R360" s="321"/>
      <c r="S360" s="319" t="s">
        <v>707</v>
      </c>
    </row>
    <row r="361" spans="1:19" ht="16" hidden="1" customHeight="1" x14ac:dyDescent="0.35">
      <c r="A361" s="331" t="str">
        <f>"OV05-01"&amp;TEXT(IFRSAlloc05,"-00")</f>
        <v>OV05-01-00</v>
      </c>
      <c r="B361" s="395"/>
      <c r="C361" s="412" t="str">
        <f>$C$349</f>
        <v xml:space="preserve">Amount allocated on </v>
      </c>
      <c r="D361" s="1176"/>
      <c r="E361" s="413" t="s">
        <v>716</v>
      </c>
      <c r="F361" s="997"/>
      <c r="G361" s="998"/>
      <c r="H361" s="998"/>
      <c r="I361" s="998"/>
      <c r="J361" s="998"/>
      <c r="K361" s="998"/>
      <c r="L361" s="998"/>
      <c r="M361" s="998"/>
      <c r="N361" s="998"/>
      <c r="O361" s="998"/>
      <c r="P361" s="998"/>
      <c r="Q361" s="409"/>
      <c r="R361" s="321"/>
      <c r="S361" s="319" t="s">
        <v>707</v>
      </c>
    </row>
    <row r="362" spans="1:19" ht="16" hidden="1" customHeight="1" x14ac:dyDescent="0.35">
      <c r="A362" s="331" t="str">
        <f>"OV05-02"&amp;TEXT(IFRSAlloc05,"-00")</f>
        <v>OV05-02-00</v>
      </c>
      <c r="B362" s="395"/>
      <c r="C362" s="414" t="str">
        <f>$C$350</f>
        <v>Depreciation</v>
      </c>
      <c r="D362" s="1177">
        <v>0</v>
      </c>
      <c r="E362" s="415" t="s">
        <v>717</v>
      </c>
      <c r="F362" s="999"/>
      <c r="G362" s="1000"/>
      <c r="H362" s="1000"/>
      <c r="I362" s="1000"/>
      <c r="J362" s="1000"/>
      <c r="K362" s="1000"/>
      <c r="L362" s="1000"/>
      <c r="M362" s="1000"/>
      <c r="N362" s="1000"/>
      <c r="O362" s="1000"/>
      <c r="P362" s="1000"/>
      <c r="Q362" s="409"/>
      <c r="R362" s="321"/>
      <c r="S362" s="319" t="s">
        <v>707</v>
      </c>
    </row>
    <row r="363" spans="1:19" ht="11.25" hidden="1" customHeight="1" x14ac:dyDescent="0.35">
      <c r="A363" s="331" t="str">
        <f>"OV05-03"&amp;TEXT(IFRSAlloc05,"-00")</f>
        <v>OV05-03-00</v>
      </c>
      <c r="B363" s="395"/>
      <c r="C363" s="416" t="str">
        <f>$C$351</f>
        <v>Balance</v>
      </c>
      <c r="D363" s="1178"/>
      <c r="E363" s="417" t="s">
        <v>718</v>
      </c>
      <c r="F363" s="1001"/>
      <c r="G363" s="1002">
        <f t="shared" ref="G363:P363" ca="1" si="102">OFFSET(G363,0,-1)+OFFSET(G363,-2,0)+OFFSET(G363,-1,0)</f>
        <v>0</v>
      </c>
      <c r="H363" s="1002">
        <f t="shared" ca="1" si="102"/>
        <v>0</v>
      </c>
      <c r="I363" s="1002">
        <f t="shared" ca="1" si="102"/>
        <v>0</v>
      </c>
      <c r="J363" s="1002">
        <f t="shared" ca="1" si="102"/>
        <v>0</v>
      </c>
      <c r="K363" s="1002">
        <f t="shared" ca="1" si="102"/>
        <v>0</v>
      </c>
      <c r="L363" s="1002">
        <f t="shared" ca="1" si="102"/>
        <v>0</v>
      </c>
      <c r="M363" s="1002">
        <f t="shared" ca="1" si="102"/>
        <v>0</v>
      </c>
      <c r="N363" s="1002">
        <f t="shared" ca="1" si="102"/>
        <v>0</v>
      </c>
      <c r="O363" s="1002">
        <f t="shared" ca="1" si="102"/>
        <v>0</v>
      </c>
      <c r="P363" s="1002">
        <f t="shared" ca="1" si="102"/>
        <v>0</v>
      </c>
      <c r="Q363" s="409"/>
      <c r="R363" s="321"/>
      <c r="S363" s="319" t="s">
        <v>707</v>
      </c>
    </row>
    <row r="364" spans="1:19" ht="16" hidden="1" customHeight="1" x14ac:dyDescent="0.35">
      <c r="A364" s="331" t="str">
        <f>"OV06-01"&amp;TEXT(IFRSAlloc06,"-00")</f>
        <v>OV06-01-00</v>
      </c>
      <c r="B364" s="395"/>
      <c r="C364" s="412" t="str">
        <f>$C$349</f>
        <v xml:space="preserve">Amount allocated on </v>
      </c>
      <c r="D364" s="1176"/>
      <c r="E364" s="413" t="s">
        <v>719</v>
      </c>
      <c r="F364" s="997"/>
      <c r="G364" s="998"/>
      <c r="H364" s="998"/>
      <c r="I364" s="998"/>
      <c r="J364" s="998"/>
      <c r="K364" s="998"/>
      <c r="L364" s="998"/>
      <c r="M364" s="998"/>
      <c r="N364" s="998"/>
      <c r="O364" s="998"/>
      <c r="P364" s="998"/>
      <c r="Q364" s="409"/>
      <c r="R364" s="321"/>
      <c r="S364" s="319" t="s">
        <v>707</v>
      </c>
    </row>
    <row r="365" spans="1:19" ht="16" hidden="1" customHeight="1" x14ac:dyDescent="0.35">
      <c r="A365" s="331" t="str">
        <f>"OV06-02"&amp;TEXT(IFRSAlloc06,"-00")</f>
        <v>OV06-02-00</v>
      </c>
      <c r="B365" s="395"/>
      <c r="C365" s="414" t="str">
        <f>$C$350</f>
        <v>Depreciation</v>
      </c>
      <c r="D365" s="1177">
        <v>0</v>
      </c>
      <c r="E365" s="415" t="s">
        <v>720</v>
      </c>
      <c r="F365" s="999"/>
      <c r="G365" s="1000"/>
      <c r="H365" s="1000"/>
      <c r="I365" s="1000"/>
      <c r="J365" s="1000"/>
      <c r="K365" s="1000"/>
      <c r="L365" s="1000"/>
      <c r="M365" s="1000"/>
      <c r="N365" s="1000"/>
      <c r="O365" s="1000"/>
      <c r="P365" s="1000"/>
      <c r="Q365" s="409"/>
      <c r="R365" s="321"/>
      <c r="S365" s="319" t="s">
        <v>707</v>
      </c>
    </row>
    <row r="366" spans="1:19" ht="11.25" hidden="1" customHeight="1" x14ac:dyDescent="0.35">
      <c r="A366" s="331" t="str">
        <f>"OV06-03"&amp;TEXT(IFRSAlloc06,"-00")</f>
        <v>OV06-03-00</v>
      </c>
      <c r="B366" s="395"/>
      <c r="C366" s="416" t="str">
        <f>$C$351</f>
        <v>Balance</v>
      </c>
      <c r="D366" s="1178"/>
      <c r="E366" s="417" t="s">
        <v>721</v>
      </c>
      <c r="F366" s="1001"/>
      <c r="G366" s="1002">
        <f t="shared" ref="G366:P366" ca="1" si="103">OFFSET(G366,0,-1)+OFFSET(G366,-2,0)+OFFSET(G366,-1,0)</f>
        <v>0</v>
      </c>
      <c r="H366" s="1002">
        <f t="shared" ca="1" si="103"/>
        <v>0</v>
      </c>
      <c r="I366" s="1002">
        <f t="shared" ca="1" si="103"/>
        <v>0</v>
      </c>
      <c r="J366" s="1002">
        <f t="shared" ca="1" si="103"/>
        <v>0</v>
      </c>
      <c r="K366" s="1002">
        <f t="shared" ca="1" si="103"/>
        <v>0</v>
      </c>
      <c r="L366" s="1002">
        <f t="shared" ca="1" si="103"/>
        <v>0</v>
      </c>
      <c r="M366" s="1002">
        <f t="shared" ca="1" si="103"/>
        <v>0</v>
      </c>
      <c r="N366" s="1002">
        <f t="shared" ca="1" si="103"/>
        <v>0</v>
      </c>
      <c r="O366" s="1002">
        <f t="shared" ca="1" si="103"/>
        <v>0</v>
      </c>
      <c r="P366" s="1002">
        <f t="shared" ca="1" si="103"/>
        <v>0</v>
      </c>
      <c r="Q366" s="409"/>
      <c r="R366" s="321"/>
      <c r="S366" s="319" t="s">
        <v>707</v>
      </c>
    </row>
    <row r="367" spans="1:19" ht="16" hidden="1" customHeight="1" x14ac:dyDescent="0.35">
      <c r="A367" s="331" t="str">
        <f>"OV07-01"&amp;TEXT(IFRSAlloc07,"-00")</f>
        <v>OV07-01-00</v>
      </c>
      <c r="B367" s="395"/>
      <c r="C367" s="412" t="str">
        <f>$C$349</f>
        <v xml:space="preserve">Amount allocated on </v>
      </c>
      <c r="D367" s="1176"/>
      <c r="E367" s="413" t="s">
        <v>722</v>
      </c>
      <c r="F367" s="997"/>
      <c r="G367" s="998"/>
      <c r="H367" s="998"/>
      <c r="I367" s="998"/>
      <c r="J367" s="998"/>
      <c r="K367" s="998"/>
      <c r="L367" s="998"/>
      <c r="M367" s="998"/>
      <c r="N367" s="998"/>
      <c r="O367" s="998"/>
      <c r="P367" s="998"/>
      <c r="Q367" s="409"/>
      <c r="R367" s="321"/>
      <c r="S367" s="319" t="s">
        <v>707</v>
      </c>
    </row>
    <row r="368" spans="1:19" ht="16" hidden="1" customHeight="1" x14ac:dyDescent="0.35">
      <c r="A368" s="331" t="str">
        <f>"OV07-02"&amp;TEXT(IFRSAlloc07,"-00")</f>
        <v>OV07-02-00</v>
      </c>
      <c r="B368" s="395"/>
      <c r="C368" s="414" t="str">
        <f>$C$350</f>
        <v>Depreciation</v>
      </c>
      <c r="D368" s="1177">
        <v>0</v>
      </c>
      <c r="E368" s="415" t="s">
        <v>723</v>
      </c>
      <c r="F368" s="999"/>
      <c r="G368" s="1000"/>
      <c r="H368" s="1000"/>
      <c r="I368" s="1000"/>
      <c r="J368" s="1000"/>
      <c r="K368" s="1000"/>
      <c r="L368" s="1000"/>
      <c r="M368" s="1000"/>
      <c r="N368" s="1000"/>
      <c r="O368" s="1000"/>
      <c r="P368" s="1000"/>
      <c r="Q368" s="409"/>
      <c r="R368" s="321"/>
      <c r="S368" s="319" t="s">
        <v>707</v>
      </c>
    </row>
    <row r="369" spans="1:19" ht="11.25" hidden="1" customHeight="1" x14ac:dyDescent="0.35">
      <c r="A369" s="331" t="str">
        <f>"OV07-03"&amp;TEXT(IFRSAlloc07,"-00")</f>
        <v>OV07-03-00</v>
      </c>
      <c r="B369" s="395"/>
      <c r="C369" s="416" t="str">
        <f>$C$351</f>
        <v>Balance</v>
      </c>
      <c r="D369" s="1178"/>
      <c r="E369" s="417" t="s">
        <v>724</v>
      </c>
      <c r="F369" s="1001"/>
      <c r="G369" s="1002">
        <f t="shared" ref="G369:P369" ca="1" si="104">OFFSET(G369,0,-1)+OFFSET(G369,-2,0)+OFFSET(G369,-1,0)</f>
        <v>0</v>
      </c>
      <c r="H369" s="1002">
        <f t="shared" ca="1" si="104"/>
        <v>0</v>
      </c>
      <c r="I369" s="1002">
        <f t="shared" ca="1" si="104"/>
        <v>0</v>
      </c>
      <c r="J369" s="1002">
        <f t="shared" ca="1" si="104"/>
        <v>0</v>
      </c>
      <c r="K369" s="1002">
        <f t="shared" ca="1" si="104"/>
        <v>0</v>
      </c>
      <c r="L369" s="1002">
        <f t="shared" ca="1" si="104"/>
        <v>0</v>
      </c>
      <c r="M369" s="1002">
        <f t="shared" ca="1" si="104"/>
        <v>0</v>
      </c>
      <c r="N369" s="1002">
        <f t="shared" ca="1" si="104"/>
        <v>0</v>
      </c>
      <c r="O369" s="1002">
        <f t="shared" ca="1" si="104"/>
        <v>0</v>
      </c>
      <c r="P369" s="1002">
        <f t="shared" ca="1" si="104"/>
        <v>0</v>
      </c>
      <c r="Q369" s="409"/>
      <c r="R369" s="321"/>
      <c r="S369" s="319" t="s">
        <v>707</v>
      </c>
    </row>
    <row r="370" spans="1:19" ht="16" hidden="1" customHeight="1" x14ac:dyDescent="0.35">
      <c r="A370" s="331" t="str">
        <f>"OV08-01"&amp;TEXT(IFRSAlloc08,"-00")</f>
        <v>OV08-01-00</v>
      </c>
      <c r="B370" s="395"/>
      <c r="C370" s="412" t="str">
        <f>$C$349</f>
        <v xml:space="preserve">Amount allocated on </v>
      </c>
      <c r="D370" s="1176"/>
      <c r="E370" s="413" t="s">
        <v>725</v>
      </c>
      <c r="F370" s="997"/>
      <c r="G370" s="998"/>
      <c r="H370" s="998"/>
      <c r="I370" s="998"/>
      <c r="J370" s="998"/>
      <c r="K370" s="998"/>
      <c r="L370" s="998"/>
      <c r="M370" s="998"/>
      <c r="N370" s="998"/>
      <c r="O370" s="998"/>
      <c r="P370" s="998"/>
      <c r="Q370" s="409"/>
      <c r="R370" s="321"/>
      <c r="S370" s="319" t="s">
        <v>707</v>
      </c>
    </row>
    <row r="371" spans="1:19" ht="16" hidden="1" customHeight="1" x14ac:dyDescent="0.35">
      <c r="A371" s="331" t="str">
        <f>"OV08-02"&amp;TEXT(IFRSAlloc08,"-00")</f>
        <v>OV08-02-00</v>
      </c>
      <c r="B371" s="395"/>
      <c r="C371" s="414" t="str">
        <f>$C$350</f>
        <v>Depreciation</v>
      </c>
      <c r="D371" s="1177">
        <v>0</v>
      </c>
      <c r="E371" s="415" t="s">
        <v>726</v>
      </c>
      <c r="F371" s="999"/>
      <c r="G371" s="1000"/>
      <c r="H371" s="1000"/>
      <c r="I371" s="1000"/>
      <c r="J371" s="1000"/>
      <c r="K371" s="1000"/>
      <c r="L371" s="1000"/>
      <c r="M371" s="1000"/>
      <c r="N371" s="1000"/>
      <c r="O371" s="1000"/>
      <c r="P371" s="1000"/>
      <c r="Q371" s="409"/>
      <c r="R371" s="321"/>
      <c r="S371" s="319" t="s">
        <v>707</v>
      </c>
    </row>
    <row r="372" spans="1:19" ht="11.25" hidden="1" customHeight="1" x14ac:dyDescent="0.35">
      <c r="A372" s="331" t="str">
        <f>"OV08-03"&amp;TEXT(IFRSAlloc08,"-00")</f>
        <v>OV08-03-00</v>
      </c>
      <c r="B372" s="395"/>
      <c r="C372" s="416" t="str">
        <f>$C$351</f>
        <v>Balance</v>
      </c>
      <c r="D372" s="1178"/>
      <c r="E372" s="417" t="s">
        <v>727</v>
      </c>
      <c r="F372" s="1001"/>
      <c r="G372" s="1002">
        <f t="shared" ref="G372:P372" ca="1" si="105">OFFSET(G372,0,-1)+OFFSET(G372,-2,0)+OFFSET(G372,-1,0)</f>
        <v>0</v>
      </c>
      <c r="H372" s="1002">
        <f t="shared" ca="1" si="105"/>
        <v>0</v>
      </c>
      <c r="I372" s="1002">
        <f t="shared" ca="1" si="105"/>
        <v>0</v>
      </c>
      <c r="J372" s="1002">
        <f t="shared" ca="1" si="105"/>
        <v>0</v>
      </c>
      <c r="K372" s="1002">
        <f t="shared" ca="1" si="105"/>
        <v>0</v>
      </c>
      <c r="L372" s="1002">
        <f t="shared" ca="1" si="105"/>
        <v>0</v>
      </c>
      <c r="M372" s="1002">
        <f t="shared" ca="1" si="105"/>
        <v>0</v>
      </c>
      <c r="N372" s="1002">
        <f t="shared" ca="1" si="105"/>
        <v>0</v>
      </c>
      <c r="O372" s="1002">
        <f t="shared" ca="1" si="105"/>
        <v>0</v>
      </c>
      <c r="P372" s="1002">
        <f t="shared" ca="1" si="105"/>
        <v>0</v>
      </c>
      <c r="Q372" s="409"/>
      <c r="R372" s="321"/>
      <c r="S372" s="319" t="s">
        <v>707</v>
      </c>
    </row>
    <row r="373" spans="1:19" ht="16" hidden="1" customHeight="1" x14ac:dyDescent="0.35">
      <c r="A373" s="331" t="str">
        <f>"OV09-01"&amp;TEXT(IFRSAlloc09,"-00")</f>
        <v>OV09-01-00</v>
      </c>
      <c r="B373" s="395"/>
      <c r="C373" s="412" t="str">
        <f>$C$349</f>
        <v xml:space="preserve">Amount allocated on </v>
      </c>
      <c r="D373" s="1176"/>
      <c r="E373" s="413" t="s">
        <v>728</v>
      </c>
      <c r="F373" s="997"/>
      <c r="G373" s="998"/>
      <c r="H373" s="998"/>
      <c r="I373" s="998"/>
      <c r="J373" s="998"/>
      <c r="K373" s="998"/>
      <c r="L373" s="998"/>
      <c r="M373" s="998"/>
      <c r="N373" s="998"/>
      <c r="O373" s="998"/>
      <c r="P373" s="998"/>
      <c r="Q373" s="409"/>
      <c r="R373" s="321"/>
      <c r="S373" s="319" t="s">
        <v>707</v>
      </c>
    </row>
    <row r="374" spans="1:19" ht="16" hidden="1" customHeight="1" x14ac:dyDescent="0.35">
      <c r="A374" s="331" t="str">
        <f>"OV09-02"&amp;TEXT(IFRSAlloc09,"-00")</f>
        <v>OV09-02-00</v>
      </c>
      <c r="B374" s="395"/>
      <c r="C374" s="414" t="str">
        <f>$C$350</f>
        <v>Depreciation</v>
      </c>
      <c r="D374" s="1177">
        <v>0</v>
      </c>
      <c r="E374" s="415" t="s">
        <v>729</v>
      </c>
      <c r="F374" s="999"/>
      <c r="G374" s="1000"/>
      <c r="H374" s="1000"/>
      <c r="I374" s="1000"/>
      <c r="J374" s="1000"/>
      <c r="K374" s="1000"/>
      <c r="L374" s="1000"/>
      <c r="M374" s="1000"/>
      <c r="N374" s="1000"/>
      <c r="O374" s="1000"/>
      <c r="P374" s="1000"/>
      <c r="Q374" s="409"/>
      <c r="R374" s="321"/>
      <c r="S374" s="319" t="s">
        <v>707</v>
      </c>
    </row>
    <row r="375" spans="1:19" ht="11.25" hidden="1" customHeight="1" x14ac:dyDescent="0.35">
      <c r="A375" s="331" t="str">
        <f>"OV09-03"&amp;TEXT(IFRSAlloc09,"-00")</f>
        <v>OV09-03-00</v>
      </c>
      <c r="B375" s="395"/>
      <c r="C375" s="416" t="str">
        <f>$C$351</f>
        <v>Balance</v>
      </c>
      <c r="D375" s="1178"/>
      <c r="E375" s="417" t="s">
        <v>730</v>
      </c>
      <c r="F375" s="1001"/>
      <c r="G375" s="1002">
        <f t="shared" ref="G375:P375" ca="1" si="106">OFFSET(G375,0,-1)+OFFSET(G375,-2,0)+OFFSET(G375,-1,0)</f>
        <v>0</v>
      </c>
      <c r="H375" s="1002">
        <f t="shared" ca="1" si="106"/>
        <v>0</v>
      </c>
      <c r="I375" s="1002">
        <f t="shared" ca="1" si="106"/>
        <v>0</v>
      </c>
      <c r="J375" s="1002">
        <f t="shared" ca="1" si="106"/>
        <v>0</v>
      </c>
      <c r="K375" s="1002">
        <f t="shared" ca="1" si="106"/>
        <v>0</v>
      </c>
      <c r="L375" s="1002">
        <f t="shared" ca="1" si="106"/>
        <v>0</v>
      </c>
      <c r="M375" s="1002">
        <f t="shared" ca="1" si="106"/>
        <v>0</v>
      </c>
      <c r="N375" s="1002">
        <f t="shared" ca="1" si="106"/>
        <v>0</v>
      </c>
      <c r="O375" s="1002">
        <f t="shared" ca="1" si="106"/>
        <v>0</v>
      </c>
      <c r="P375" s="1002">
        <f t="shared" ca="1" si="106"/>
        <v>0</v>
      </c>
      <c r="Q375" s="409"/>
      <c r="R375" s="321"/>
      <c r="S375" s="319" t="s">
        <v>707</v>
      </c>
    </row>
    <row r="376" spans="1:19" ht="16" hidden="1" customHeight="1" x14ac:dyDescent="0.35">
      <c r="A376" s="331" t="str">
        <f>"OV10-01"&amp;TEXT(IFRSAlloc10,"-00")</f>
        <v>OV10-01-00</v>
      </c>
      <c r="B376" s="395"/>
      <c r="C376" s="412" t="str">
        <f>$C$349</f>
        <v xml:space="preserve">Amount allocated on </v>
      </c>
      <c r="D376" s="1176"/>
      <c r="E376" s="413" t="s">
        <v>731</v>
      </c>
      <c r="F376" s="997"/>
      <c r="G376" s="998"/>
      <c r="H376" s="998"/>
      <c r="I376" s="998"/>
      <c r="J376" s="998"/>
      <c r="K376" s="998"/>
      <c r="L376" s="998"/>
      <c r="M376" s="998"/>
      <c r="N376" s="998"/>
      <c r="O376" s="998"/>
      <c r="P376" s="998"/>
      <c r="Q376" s="409"/>
      <c r="R376" s="321"/>
      <c r="S376" s="319" t="s">
        <v>707</v>
      </c>
    </row>
    <row r="377" spans="1:19" ht="16" hidden="1" customHeight="1" x14ac:dyDescent="0.35">
      <c r="A377" s="331" t="str">
        <f>"OV10-02"&amp;TEXT(IFRSAlloc10,"-00")</f>
        <v>OV10-02-00</v>
      </c>
      <c r="B377" s="395"/>
      <c r="C377" s="414" t="str">
        <f>$C$350</f>
        <v>Depreciation</v>
      </c>
      <c r="D377" s="1177">
        <v>0</v>
      </c>
      <c r="E377" s="415" t="s">
        <v>732</v>
      </c>
      <c r="F377" s="999"/>
      <c r="G377" s="1000"/>
      <c r="H377" s="1000"/>
      <c r="I377" s="1000"/>
      <c r="J377" s="1000"/>
      <c r="K377" s="1000"/>
      <c r="L377" s="1000"/>
      <c r="M377" s="1000"/>
      <c r="N377" s="1000"/>
      <c r="O377" s="1000"/>
      <c r="P377" s="1000"/>
      <c r="Q377" s="409"/>
      <c r="R377" s="321"/>
      <c r="S377" s="319" t="s">
        <v>707</v>
      </c>
    </row>
    <row r="378" spans="1:19" ht="11.25" hidden="1" customHeight="1" x14ac:dyDescent="0.35">
      <c r="A378" s="331" t="str">
        <f>"OV10-03"&amp;TEXT(IFRSAlloc10,"-00")</f>
        <v>OV10-03-00</v>
      </c>
      <c r="B378" s="395"/>
      <c r="C378" s="416" t="str">
        <f>$C$351</f>
        <v>Balance</v>
      </c>
      <c r="D378" s="1178"/>
      <c r="E378" s="417" t="s">
        <v>733</v>
      </c>
      <c r="F378" s="1001"/>
      <c r="G378" s="1002">
        <f t="shared" ref="G378:P378" ca="1" si="107">OFFSET(G378,0,-1)+OFFSET(G378,-2,0)+OFFSET(G378,-1,0)</f>
        <v>0</v>
      </c>
      <c r="H378" s="1002">
        <f t="shared" ca="1" si="107"/>
        <v>0</v>
      </c>
      <c r="I378" s="1002">
        <f t="shared" ca="1" si="107"/>
        <v>0</v>
      </c>
      <c r="J378" s="1002">
        <f t="shared" ca="1" si="107"/>
        <v>0</v>
      </c>
      <c r="K378" s="1002">
        <f t="shared" ca="1" si="107"/>
        <v>0</v>
      </c>
      <c r="L378" s="1002">
        <f t="shared" ca="1" si="107"/>
        <v>0</v>
      </c>
      <c r="M378" s="1002">
        <f t="shared" ca="1" si="107"/>
        <v>0</v>
      </c>
      <c r="N378" s="1002">
        <f t="shared" ca="1" si="107"/>
        <v>0</v>
      </c>
      <c r="O378" s="1002">
        <f t="shared" ca="1" si="107"/>
        <v>0</v>
      </c>
      <c r="P378" s="1002">
        <f t="shared" ca="1" si="107"/>
        <v>0</v>
      </c>
      <c r="Q378" s="409"/>
      <c r="R378" s="321"/>
      <c r="S378" s="319" t="s">
        <v>707</v>
      </c>
    </row>
    <row r="379" spans="1:19" ht="16" hidden="1" customHeight="1" x14ac:dyDescent="0.35">
      <c r="A379" s="331" t="str">
        <f>"OV11-01"&amp;TEXT(IFRSAlloc11,"-00")</f>
        <v>OV11-01-00</v>
      </c>
      <c r="B379" s="395"/>
      <c r="C379" s="412" t="str">
        <f>$C$349</f>
        <v xml:space="preserve">Amount allocated on </v>
      </c>
      <c r="D379" s="1176"/>
      <c r="E379" s="413" t="s">
        <v>734</v>
      </c>
      <c r="F379" s="997"/>
      <c r="G379" s="998"/>
      <c r="H379" s="998"/>
      <c r="I379" s="998"/>
      <c r="J379" s="998"/>
      <c r="K379" s="998"/>
      <c r="L379" s="998"/>
      <c r="M379" s="998"/>
      <c r="N379" s="998"/>
      <c r="O379" s="998"/>
      <c r="P379" s="998"/>
      <c r="Q379" s="409"/>
      <c r="R379" s="321"/>
      <c r="S379" s="319" t="s">
        <v>707</v>
      </c>
    </row>
    <row r="380" spans="1:19" ht="16" hidden="1" customHeight="1" x14ac:dyDescent="0.35">
      <c r="A380" s="331" t="str">
        <f>"OV11-02"&amp;TEXT(IFRSAlloc11,"-00")</f>
        <v>OV11-02-00</v>
      </c>
      <c r="B380" s="395"/>
      <c r="C380" s="414" t="str">
        <f>$C$350</f>
        <v>Depreciation</v>
      </c>
      <c r="D380" s="1177">
        <v>0</v>
      </c>
      <c r="E380" s="415" t="s">
        <v>735</v>
      </c>
      <c r="F380" s="999"/>
      <c r="G380" s="1000"/>
      <c r="H380" s="1000"/>
      <c r="I380" s="1000"/>
      <c r="J380" s="1000"/>
      <c r="K380" s="1000"/>
      <c r="L380" s="1000"/>
      <c r="M380" s="1000"/>
      <c r="N380" s="1000"/>
      <c r="O380" s="1000"/>
      <c r="P380" s="1000"/>
      <c r="Q380" s="409"/>
      <c r="R380" s="321"/>
      <c r="S380" s="319" t="s">
        <v>707</v>
      </c>
    </row>
    <row r="381" spans="1:19" ht="11.25" hidden="1" customHeight="1" x14ac:dyDescent="0.35">
      <c r="A381" s="331" t="str">
        <f>"OV11-03"&amp;TEXT(IFRSAlloc11,"-00")</f>
        <v>OV11-03-00</v>
      </c>
      <c r="B381" s="395"/>
      <c r="C381" s="416" t="str">
        <f>$C$351</f>
        <v>Balance</v>
      </c>
      <c r="D381" s="1178"/>
      <c r="E381" s="417" t="s">
        <v>736</v>
      </c>
      <c r="F381" s="1001"/>
      <c r="G381" s="1002">
        <f t="shared" ref="G381:P381" ca="1" si="108">OFFSET(G381,0,-1)+OFFSET(G381,-2,0)+OFFSET(G381,-1,0)</f>
        <v>0</v>
      </c>
      <c r="H381" s="1002">
        <f t="shared" ca="1" si="108"/>
        <v>0</v>
      </c>
      <c r="I381" s="1002">
        <f t="shared" ca="1" si="108"/>
        <v>0</v>
      </c>
      <c r="J381" s="1002">
        <f t="shared" ca="1" si="108"/>
        <v>0</v>
      </c>
      <c r="K381" s="1002">
        <f t="shared" ca="1" si="108"/>
        <v>0</v>
      </c>
      <c r="L381" s="1002">
        <f t="shared" ca="1" si="108"/>
        <v>0</v>
      </c>
      <c r="M381" s="1002">
        <f t="shared" ca="1" si="108"/>
        <v>0</v>
      </c>
      <c r="N381" s="1002">
        <f t="shared" ca="1" si="108"/>
        <v>0</v>
      </c>
      <c r="O381" s="1002">
        <f t="shared" ca="1" si="108"/>
        <v>0</v>
      </c>
      <c r="P381" s="1002">
        <f t="shared" ca="1" si="108"/>
        <v>0</v>
      </c>
      <c r="Q381" s="409"/>
      <c r="R381" s="321"/>
      <c r="S381" s="319" t="s">
        <v>707</v>
      </c>
    </row>
    <row r="382" spans="1:19" ht="16" hidden="1" customHeight="1" x14ac:dyDescent="0.35">
      <c r="A382" s="331" t="str">
        <f>"OV12-01"&amp;TEXT(IFRSAlloc12,"-00")</f>
        <v>OV12-01-00</v>
      </c>
      <c r="B382" s="395"/>
      <c r="C382" s="412" t="str">
        <f>$C$349</f>
        <v xml:space="preserve">Amount allocated on </v>
      </c>
      <c r="D382" s="1176"/>
      <c r="E382" s="413" t="s">
        <v>737</v>
      </c>
      <c r="F382" s="997"/>
      <c r="G382" s="998"/>
      <c r="H382" s="998"/>
      <c r="I382" s="998"/>
      <c r="J382" s="998"/>
      <c r="K382" s="998"/>
      <c r="L382" s="998"/>
      <c r="M382" s="998"/>
      <c r="N382" s="998"/>
      <c r="O382" s="998"/>
      <c r="P382" s="998"/>
      <c r="Q382" s="409"/>
      <c r="R382" s="321"/>
      <c r="S382" s="319" t="s">
        <v>707</v>
      </c>
    </row>
    <row r="383" spans="1:19" ht="16" hidden="1" customHeight="1" x14ac:dyDescent="0.35">
      <c r="A383" s="331" t="str">
        <f>"OV12-02"&amp;TEXT(IFRSAlloc12,"-00")</f>
        <v>OV12-02-00</v>
      </c>
      <c r="B383" s="395"/>
      <c r="C383" s="414" t="str">
        <f>$C$350</f>
        <v>Depreciation</v>
      </c>
      <c r="D383" s="1177">
        <v>0</v>
      </c>
      <c r="E383" s="415" t="s">
        <v>738</v>
      </c>
      <c r="F383" s="999"/>
      <c r="G383" s="1000"/>
      <c r="H383" s="1000"/>
      <c r="I383" s="1000"/>
      <c r="J383" s="1000"/>
      <c r="K383" s="1000"/>
      <c r="L383" s="1000"/>
      <c r="M383" s="1000"/>
      <c r="N383" s="1000"/>
      <c r="O383" s="1000"/>
      <c r="P383" s="1000"/>
      <c r="Q383" s="409"/>
      <c r="R383" s="321"/>
      <c r="S383" s="319" t="s">
        <v>707</v>
      </c>
    </row>
    <row r="384" spans="1:19" ht="11.25" hidden="1" customHeight="1" x14ac:dyDescent="0.35">
      <c r="A384" s="331" t="str">
        <f>"OV12-03"&amp;TEXT(IFRSAlloc12,"-00")</f>
        <v>OV12-03-00</v>
      </c>
      <c r="B384" s="395"/>
      <c r="C384" s="416" t="str">
        <f>$C$351</f>
        <v>Balance</v>
      </c>
      <c r="D384" s="1178"/>
      <c r="E384" s="417" t="s">
        <v>739</v>
      </c>
      <c r="F384" s="1001"/>
      <c r="G384" s="1002">
        <f t="shared" ref="G384:P384" ca="1" si="109">OFFSET(G384,0,-1)+OFFSET(G384,-2,0)+OFFSET(G384,-1,0)</f>
        <v>0</v>
      </c>
      <c r="H384" s="1002">
        <f t="shared" ca="1" si="109"/>
        <v>0</v>
      </c>
      <c r="I384" s="1002">
        <f t="shared" ca="1" si="109"/>
        <v>0</v>
      </c>
      <c r="J384" s="1002">
        <f t="shared" ca="1" si="109"/>
        <v>0</v>
      </c>
      <c r="K384" s="1002">
        <f t="shared" ca="1" si="109"/>
        <v>0</v>
      </c>
      <c r="L384" s="1002">
        <f t="shared" ca="1" si="109"/>
        <v>0</v>
      </c>
      <c r="M384" s="1002">
        <f t="shared" ca="1" si="109"/>
        <v>0</v>
      </c>
      <c r="N384" s="1002">
        <f t="shared" ca="1" si="109"/>
        <v>0</v>
      </c>
      <c r="O384" s="1002">
        <f t="shared" ca="1" si="109"/>
        <v>0</v>
      </c>
      <c r="P384" s="1002">
        <f t="shared" ca="1" si="109"/>
        <v>0</v>
      </c>
      <c r="Q384" s="409"/>
      <c r="R384" s="321"/>
      <c r="S384" s="319" t="s">
        <v>707</v>
      </c>
    </row>
    <row r="385" spans="1:19" ht="11.25" hidden="1" customHeight="1" x14ac:dyDescent="0.35">
      <c r="A385" s="331" t="s">
        <v>740</v>
      </c>
      <c r="B385" s="395"/>
      <c r="C385" s="411" t="s">
        <v>741</v>
      </c>
      <c r="D385" s="1175"/>
      <c r="E385" s="317" t="s">
        <v>742</v>
      </c>
      <c r="F385" s="994"/>
      <c r="G385" s="996">
        <f t="shared" ref="G385:L385" ca="1" si="110">G386+G389+G392+G395+G398+G401+G404+G407+G410+G413+G416+G419</f>
        <v>0</v>
      </c>
      <c r="H385" s="996">
        <f t="shared" ca="1" si="110"/>
        <v>0</v>
      </c>
      <c r="I385" s="996">
        <f t="shared" ca="1" si="110"/>
        <v>0</v>
      </c>
      <c r="J385" s="996">
        <f t="shared" ca="1" si="110"/>
        <v>0</v>
      </c>
      <c r="K385" s="996">
        <f t="shared" ca="1" si="110"/>
        <v>0</v>
      </c>
      <c r="L385" s="996">
        <f t="shared" ca="1" si="110"/>
        <v>0</v>
      </c>
      <c r="M385" s="996">
        <f t="shared" ref="M385:N385" ca="1" si="111">M386+M389+M392+M395+M398+M401+M404+M407+M410+M413+M416+M419</f>
        <v>0</v>
      </c>
      <c r="N385" s="996">
        <f t="shared" ca="1" si="111"/>
        <v>0</v>
      </c>
      <c r="O385" s="996">
        <f t="shared" ref="O385:P385" ca="1" si="112">O386+O389+O392+O395+O398+O401+O404+O407+O410+O413+O416+O419</f>
        <v>0</v>
      </c>
      <c r="P385" s="996">
        <f t="shared" ca="1" si="112"/>
        <v>0</v>
      </c>
      <c r="Q385" s="409"/>
      <c r="R385" s="321"/>
      <c r="S385" s="319" t="s">
        <v>663</v>
      </c>
    </row>
    <row r="386" spans="1:19" ht="11.25" hidden="1" customHeight="1" x14ac:dyDescent="0.35">
      <c r="A386" s="331" t="str">
        <f>"TL01-01"&amp;TEXT(IFRSAlloc01,"-00")</f>
        <v>TL01-01-00</v>
      </c>
      <c r="B386" s="395"/>
      <c r="C386" s="412" t="str">
        <f>$C$349&amp;IF(IFRSAlloc01&gt;0,INDEX(IFRSallocDD,IFRSAlloc01),"")</f>
        <v xml:space="preserve">Amount allocated on </v>
      </c>
      <c r="D386" s="1176"/>
      <c r="E386" s="413" t="s">
        <v>743</v>
      </c>
      <c r="F386" s="997"/>
      <c r="G386" s="1003">
        <f t="shared" ref="G386:L386" ca="1" si="113">IF(OFFSET($E$344,0,G$8)&lt;&gt;0,(OFFSET($E349,0,G$8)/OFFSET($E$344,0,G$8))*OFFSET($E$345,0,G$8),0)</f>
        <v>0</v>
      </c>
      <c r="H386" s="1003">
        <f t="shared" ca="1" si="113"/>
        <v>0</v>
      </c>
      <c r="I386" s="1003">
        <f t="shared" ca="1" si="113"/>
        <v>0</v>
      </c>
      <c r="J386" s="1003">
        <f t="shared" ca="1" si="113"/>
        <v>0</v>
      </c>
      <c r="K386" s="1003">
        <f t="shared" ca="1" si="113"/>
        <v>0</v>
      </c>
      <c r="L386" s="1003">
        <f t="shared" ca="1" si="113"/>
        <v>0</v>
      </c>
      <c r="M386" s="1003">
        <f t="shared" ref="M386:N386" ca="1" si="114">IF(OFFSET($E$344,0,M$8)&lt;&gt;0,(OFFSET($E349,0,M$8)/OFFSET($E$344,0,M$8))*OFFSET($E$345,0,M$8),0)</f>
        <v>0</v>
      </c>
      <c r="N386" s="1003">
        <f t="shared" ca="1" si="114"/>
        <v>0</v>
      </c>
      <c r="O386" s="1003">
        <f t="shared" ref="O386:P386" ca="1" si="115">IF(OFFSET($E$344,0,O$8)&lt;&gt;0,(OFFSET($E349,0,O$8)/OFFSET($E$344,0,O$8))*OFFSET($E$345,0,O$8),0)</f>
        <v>0</v>
      </c>
      <c r="P386" s="1003">
        <f t="shared" ca="1" si="115"/>
        <v>0</v>
      </c>
      <c r="Q386" s="409"/>
      <c r="R386" s="321"/>
      <c r="S386" s="319" t="s">
        <v>679</v>
      </c>
    </row>
    <row r="387" spans="1:19" ht="11.25" hidden="1" customHeight="1" x14ac:dyDescent="0.35">
      <c r="A387" s="331" t="str">
        <f>"TL01-02"&amp;TEXT(IFRSAlloc01,"-00")</f>
        <v>TL01-02-00</v>
      </c>
      <c r="B387" s="395"/>
      <c r="C387" s="418" t="str">
        <f>$C$350</f>
        <v>Depreciation</v>
      </c>
      <c r="D387" s="1173"/>
      <c r="E387" s="317" t="s">
        <v>744</v>
      </c>
      <c r="F387" s="994"/>
      <c r="G387" s="979">
        <f ca="1">IF(SUM(OFFSET($E349,0,$G$8):OFFSET($E349,0,G$8))&lt;&gt;0,(OFFSET($E350,0,G$8)/SUM(OFFSET($E349,0,$G$8):OFFSET($E349,0,G$8)))*SUM($G386:G386),0)</f>
        <v>0</v>
      </c>
      <c r="H387" s="979">
        <f ca="1">IF(SUM(OFFSET($E349,0,$G$8):OFFSET($E349,0,H$8))&lt;&gt;0,(OFFSET($E350,0,H$8)/SUM(OFFSET($E349,0,$G$8):OFFSET($E349,0,H$8)))*SUM($G386:H386),0)</f>
        <v>0</v>
      </c>
      <c r="I387" s="979">
        <f ca="1">IF(SUM(OFFSET($E349,0,$G$8):OFFSET($E349,0,I$8))&lt;&gt;0,(OFFSET($E350,0,I$8)/SUM(OFFSET($E349,0,$G$8):OFFSET($E349,0,I$8)))*SUM($G386:I386),0)</f>
        <v>0</v>
      </c>
      <c r="J387" s="979">
        <f ca="1">IF(SUM(OFFSET($E349,0,$G$8):OFFSET($E349,0,J$8))&lt;&gt;0,(OFFSET($E350,0,J$8)/SUM(OFFSET($E349,0,$G$8):OFFSET($E349,0,J$8)))*SUM($G386:J386),0)</f>
        <v>0</v>
      </c>
      <c r="K387" s="979">
        <f ca="1">IF(SUM(OFFSET($E349,0,$G$8):OFFSET($E349,0,K$8))&lt;&gt;0,(OFFSET($E350,0,K$8)/SUM(OFFSET($E349,0,$G$8):OFFSET($E349,0,K$8)))*SUM($G386:K386),0)</f>
        <v>0</v>
      </c>
      <c r="L387" s="979">
        <f ca="1">IF(SUM(OFFSET($E349,0,$G$8):OFFSET($E349,0,L$8))&lt;&gt;0,(OFFSET($E350,0,L$8)/SUM(OFFSET($E349,0,$G$8):OFFSET($E349,0,L$8)))*SUM($G386:L386),0)</f>
        <v>0</v>
      </c>
      <c r="M387" s="979">
        <f ca="1">IF(SUM(OFFSET($E349,0,$G$8):OFFSET($E349,0,M$8))&lt;&gt;0,(OFFSET($E350,0,M$8)/SUM(OFFSET($E349,0,$G$8):OFFSET($E349,0,M$8)))*SUM($G386:M386),0)</f>
        <v>0</v>
      </c>
      <c r="N387" s="979">
        <f ca="1">IF(SUM(OFFSET($E349,0,$G$8):OFFSET($E349,0,N$8))&lt;&gt;0,(OFFSET($E350,0,N$8)/SUM(OFFSET($E349,0,$G$8):OFFSET($E349,0,N$8)))*SUM($G386:N386),0)</f>
        <v>0</v>
      </c>
      <c r="O387" s="979">
        <f ca="1">IF(SUM(OFFSET($E349,0,$G$8):OFFSET($E349,0,O$8))&lt;&gt;0,(OFFSET($E350,0,O$8)/SUM(OFFSET($E349,0,$G$8):OFFSET($E349,0,O$8)))*SUM($G386:O386),0)</f>
        <v>0</v>
      </c>
      <c r="P387" s="979">
        <f ca="1">IF(SUM(OFFSET($E349,0,$G$8):OFFSET($E349,0,P$8))&lt;&gt;0,(OFFSET($E350,0,P$8)/SUM(OFFSET($E349,0,$G$8):OFFSET($E349,0,P$8)))*SUM($G386:P386),0)</f>
        <v>0</v>
      </c>
      <c r="Q387" s="409"/>
      <c r="R387" s="321"/>
      <c r="S387" s="319" t="s">
        <v>679</v>
      </c>
    </row>
    <row r="388" spans="1:19" ht="11.25" hidden="1" customHeight="1" x14ac:dyDescent="0.35">
      <c r="A388" s="331" t="str">
        <f>"TL01-03"&amp;TEXT(IFRSAlloc01,"-00")</f>
        <v>TL01-03-00</v>
      </c>
      <c r="B388" s="395"/>
      <c r="C388" s="416" t="str">
        <f>$C$351</f>
        <v>Balance</v>
      </c>
      <c r="D388" s="1178"/>
      <c r="E388" s="417" t="s">
        <v>745</v>
      </c>
      <c r="F388" s="1001"/>
      <c r="G388" s="1002">
        <f t="shared" ref="G388:L388" ca="1" si="116">G386+G387+OFFSET(G388,0,-1)</f>
        <v>0</v>
      </c>
      <c r="H388" s="1002">
        <f t="shared" ca="1" si="116"/>
        <v>0</v>
      </c>
      <c r="I388" s="1002">
        <f t="shared" ca="1" si="116"/>
        <v>0</v>
      </c>
      <c r="J388" s="1002">
        <f t="shared" ca="1" si="116"/>
        <v>0</v>
      </c>
      <c r="K388" s="1002">
        <f t="shared" ca="1" si="116"/>
        <v>0</v>
      </c>
      <c r="L388" s="1002">
        <f t="shared" ca="1" si="116"/>
        <v>0</v>
      </c>
      <c r="M388" s="1002">
        <f t="shared" ref="M388:N388" ca="1" si="117">M386+M387+OFFSET(M388,0,-1)</f>
        <v>0</v>
      </c>
      <c r="N388" s="1002">
        <f t="shared" ca="1" si="117"/>
        <v>0</v>
      </c>
      <c r="O388" s="1002">
        <f t="shared" ref="O388:P388" ca="1" si="118">O386+O387+OFFSET(O388,0,-1)</f>
        <v>0</v>
      </c>
      <c r="P388" s="1002">
        <f t="shared" ca="1" si="118"/>
        <v>0</v>
      </c>
      <c r="Q388" s="409"/>
      <c r="R388" s="321"/>
      <c r="S388" s="319" t="s">
        <v>679</v>
      </c>
    </row>
    <row r="389" spans="1:19" ht="11.25" hidden="1" customHeight="1" x14ac:dyDescent="0.35">
      <c r="A389" s="331" t="str">
        <f>"TL02-01"&amp;TEXT(IFRSAlloc02,"-00")</f>
        <v>TL02-01-00</v>
      </c>
      <c r="B389" s="395"/>
      <c r="C389" s="412" t="str">
        <f>$C$349&amp;IF(IFRSAlloc02&gt;0,INDEX(IFRSallocDD,IFRSAlloc02),"")</f>
        <v xml:space="preserve">Amount allocated on </v>
      </c>
      <c r="D389" s="1173"/>
      <c r="E389" s="413" t="s">
        <v>746</v>
      </c>
      <c r="F389" s="994"/>
      <c r="G389" s="1003">
        <f t="shared" ref="G389:L389" ca="1" si="119">IF(OFFSET($E$344,0,G$8)&lt;&gt;0,(OFFSET($E352,0,G$8)/OFFSET($E$344,0,G$8))*OFFSET($E$345,0,G$8),0)</f>
        <v>0</v>
      </c>
      <c r="H389" s="1003">
        <f t="shared" ca="1" si="119"/>
        <v>0</v>
      </c>
      <c r="I389" s="1003">
        <f t="shared" ca="1" si="119"/>
        <v>0</v>
      </c>
      <c r="J389" s="1003">
        <f t="shared" ca="1" si="119"/>
        <v>0</v>
      </c>
      <c r="K389" s="1003">
        <f t="shared" ca="1" si="119"/>
        <v>0</v>
      </c>
      <c r="L389" s="1003">
        <f t="shared" ca="1" si="119"/>
        <v>0</v>
      </c>
      <c r="M389" s="1003">
        <f t="shared" ref="M389:N389" ca="1" si="120">IF(OFFSET($E$344,0,M$8)&lt;&gt;0,(OFFSET($E352,0,M$8)/OFFSET($E$344,0,M$8))*OFFSET($E$345,0,M$8),0)</f>
        <v>0</v>
      </c>
      <c r="N389" s="1003">
        <f t="shared" ca="1" si="120"/>
        <v>0</v>
      </c>
      <c r="O389" s="1003">
        <f t="shared" ref="O389:P389" ca="1" si="121">IF(OFFSET($E$344,0,O$8)&lt;&gt;0,(OFFSET($E352,0,O$8)/OFFSET($E$344,0,O$8))*OFFSET($E$345,0,O$8),0)</f>
        <v>0</v>
      </c>
      <c r="P389" s="1003">
        <f t="shared" ca="1" si="121"/>
        <v>0</v>
      </c>
      <c r="Q389" s="409"/>
      <c r="R389" s="321"/>
      <c r="S389" s="319" t="s">
        <v>707</v>
      </c>
    </row>
    <row r="390" spans="1:19" ht="11.25" hidden="1" customHeight="1" x14ac:dyDescent="0.35">
      <c r="A390" s="331" t="str">
        <f>"TL02-02"&amp;TEXT(IFRSAlloc02,"-00")</f>
        <v>TL02-02-00</v>
      </c>
      <c r="B390" s="395"/>
      <c r="C390" s="418" t="str">
        <f>$C$350</f>
        <v>Depreciation</v>
      </c>
      <c r="D390" s="1173"/>
      <c r="E390" s="317" t="s">
        <v>747</v>
      </c>
      <c r="F390" s="994"/>
      <c r="G390" s="979">
        <f ca="1">IF(SUM(OFFSET($E352,0,$G$8):OFFSET($E352,0,G$8))&lt;&gt;0,(OFFSET($E353,0,G$8)/SUM(OFFSET($E352,0,$G$8):OFFSET($E352,0,G$8)))*SUM($G389:G389),0)</f>
        <v>0</v>
      </c>
      <c r="H390" s="979">
        <f ca="1">IF(SUM(OFFSET($E352,0,$G$8):OFFSET($E352,0,H$8))&lt;&gt;0,(OFFSET($E353,0,H$8)/SUM(OFFSET($E352,0,$G$8):OFFSET($E352,0,H$8)))*SUM($G389:H389),0)</f>
        <v>0</v>
      </c>
      <c r="I390" s="979">
        <f ca="1">IF(SUM(OFFSET($E352,0,$G$8):OFFSET($E352,0,I$8))&lt;&gt;0,(OFFSET($E353,0,I$8)/SUM(OFFSET($E352,0,$G$8):OFFSET($E352,0,I$8)))*SUM($G389:I389),0)</f>
        <v>0</v>
      </c>
      <c r="J390" s="979">
        <f ca="1">IF(SUM(OFFSET($E352,0,$G$8):OFFSET($E352,0,J$8))&lt;&gt;0,(OFFSET($E353,0,J$8)/SUM(OFFSET($E352,0,$G$8):OFFSET($E352,0,J$8)))*SUM($G389:J389),0)</f>
        <v>0</v>
      </c>
      <c r="K390" s="979">
        <f ca="1">IF(SUM(OFFSET($E352,0,$G$8):OFFSET($E352,0,K$8))&lt;&gt;0,(OFFSET($E353,0,K$8)/SUM(OFFSET($E352,0,$G$8):OFFSET($E352,0,K$8)))*SUM($G389:K389),0)</f>
        <v>0</v>
      </c>
      <c r="L390" s="979">
        <f ca="1">IF(SUM(OFFSET($E352,0,$G$8):OFFSET($E352,0,L$8))&lt;&gt;0,(OFFSET($E353,0,L$8)/SUM(OFFSET($E352,0,$G$8):OFFSET($E352,0,L$8)))*SUM($G389:L389),0)</f>
        <v>0</v>
      </c>
      <c r="M390" s="979">
        <f ca="1">IF(SUM(OFFSET($E352,0,$G$8):OFFSET($E352,0,M$8))&lt;&gt;0,(OFFSET($E353,0,M$8)/SUM(OFFSET($E352,0,$G$8):OFFSET($E352,0,M$8)))*SUM($G389:M389),0)</f>
        <v>0</v>
      </c>
      <c r="N390" s="979">
        <f ca="1">IF(SUM(OFFSET($E352,0,$G$8):OFFSET($E352,0,N$8))&lt;&gt;0,(OFFSET($E353,0,N$8)/SUM(OFFSET($E352,0,$G$8):OFFSET($E352,0,N$8)))*SUM($G389:N389),0)</f>
        <v>0</v>
      </c>
      <c r="O390" s="979">
        <f ca="1">IF(SUM(OFFSET($E352,0,$G$8):OFFSET($E352,0,O$8))&lt;&gt;0,(OFFSET($E353,0,O$8)/SUM(OFFSET($E352,0,$G$8):OFFSET($E352,0,O$8)))*SUM($G389:O389),0)</f>
        <v>0</v>
      </c>
      <c r="P390" s="979">
        <f ca="1">IF(SUM(OFFSET($E352,0,$G$8):OFFSET($E352,0,P$8))&lt;&gt;0,(OFFSET($E353,0,P$8)/SUM(OFFSET($E352,0,$G$8):OFFSET($E352,0,P$8)))*SUM($G389:P389),0)</f>
        <v>0</v>
      </c>
      <c r="Q390" s="409"/>
      <c r="R390" s="321"/>
      <c r="S390" s="319" t="s">
        <v>707</v>
      </c>
    </row>
    <row r="391" spans="1:19" ht="11.25" hidden="1" customHeight="1" x14ac:dyDescent="0.35">
      <c r="A391" s="331" t="str">
        <f>"TL02-03"&amp;TEXT(IFRSAlloc02,"-00")</f>
        <v>TL02-03-00</v>
      </c>
      <c r="B391" s="395"/>
      <c r="C391" s="416" t="str">
        <f>$C$351</f>
        <v>Balance</v>
      </c>
      <c r="D391" s="1178"/>
      <c r="E391" s="417" t="s">
        <v>748</v>
      </c>
      <c r="F391" s="1001"/>
      <c r="G391" s="1002">
        <f t="shared" ref="G391:L391" ca="1" si="122">G389+G390+OFFSET(G391,0,-1)</f>
        <v>0</v>
      </c>
      <c r="H391" s="1002">
        <f t="shared" ca="1" si="122"/>
        <v>0</v>
      </c>
      <c r="I391" s="1002">
        <f t="shared" ca="1" si="122"/>
        <v>0</v>
      </c>
      <c r="J391" s="1002">
        <f t="shared" ca="1" si="122"/>
        <v>0</v>
      </c>
      <c r="K391" s="1002">
        <f t="shared" ca="1" si="122"/>
        <v>0</v>
      </c>
      <c r="L391" s="1002">
        <f t="shared" ca="1" si="122"/>
        <v>0</v>
      </c>
      <c r="M391" s="1002">
        <f t="shared" ref="M391:N391" ca="1" si="123">M389+M390+OFFSET(M391,0,-1)</f>
        <v>0</v>
      </c>
      <c r="N391" s="1002">
        <f t="shared" ca="1" si="123"/>
        <v>0</v>
      </c>
      <c r="O391" s="1002">
        <f t="shared" ref="O391:P391" ca="1" si="124">O389+O390+OFFSET(O391,0,-1)</f>
        <v>0</v>
      </c>
      <c r="P391" s="1002">
        <f t="shared" ca="1" si="124"/>
        <v>0</v>
      </c>
      <c r="Q391" s="409"/>
      <c r="R391" s="321"/>
      <c r="S391" s="319" t="s">
        <v>707</v>
      </c>
    </row>
    <row r="392" spans="1:19" ht="11.25" hidden="1" customHeight="1" x14ac:dyDescent="0.35">
      <c r="A392" s="331" t="str">
        <f>"TL03-01"&amp;TEXT(IFRSAlloc03,"-00")</f>
        <v>TL03-01-00</v>
      </c>
      <c r="B392" s="395"/>
      <c r="C392" s="412" t="str">
        <f>$C$349&amp;IF(IFRSAlloc03&gt;0,INDEX(IFRSallocDD,IFRSAlloc03),"")</f>
        <v xml:space="preserve">Amount allocated on </v>
      </c>
      <c r="D392" s="1176"/>
      <c r="E392" s="413" t="s">
        <v>749</v>
      </c>
      <c r="F392" s="997"/>
      <c r="G392" s="1003">
        <f t="shared" ref="G392:L392" ca="1" si="125">IF(OFFSET($E$344,0,G$8)&lt;&gt;0,(OFFSET($E355,0,G$8)/OFFSET($E$344,0,G$8))*OFFSET($E$345,0,G$8),0)</f>
        <v>0</v>
      </c>
      <c r="H392" s="1003">
        <f t="shared" ca="1" si="125"/>
        <v>0</v>
      </c>
      <c r="I392" s="1003">
        <f t="shared" ca="1" si="125"/>
        <v>0</v>
      </c>
      <c r="J392" s="1003">
        <f t="shared" ca="1" si="125"/>
        <v>0</v>
      </c>
      <c r="K392" s="1003">
        <f t="shared" ca="1" si="125"/>
        <v>0</v>
      </c>
      <c r="L392" s="1003">
        <f t="shared" ca="1" si="125"/>
        <v>0</v>
      </c>
      <c r="M392" s="1003">
        <f t="shared" ref="M392:N392" ca="1" si="126">IF(OFFSET($E$344,0,M$8)&lt;&gt;0,(OFFSET($E355,0,M$8)/OFFSET($E$344,0,M$8))*OFFSET($E$345,0,M$8),0)</f>
        <v>0</v>
      </c>
      <c r="N392" s="1003">
        <f t="shared" ca="1" si="126"/>
        <v>0</v>
      </c>
      <c r="O392" s="1003">
        <f t="shared" ref="O392:P392" ca="1" si="127">IF(OFFSET($E$344,0,O$8)&lt;&gt;0,(OFFSET($E355,0,O$8)/OFFSET($E$344,0,O$8))*OFFSET($E$345,0,O$8),0)</f>
        <v>0</v>
      </c>
      <c r="P392" s="1003">
        <f t="shared" ca="1" si="127"/>
        <v>0</v>
      </c>
      <c r="Q392" s="409"/>
      <c r="R392" s="321"/>
      <c r="S392" s="319" t="s">
        <v>707</v>
      </c>
    </row>
    <row r="393" spans="1:19" ht="11.25" hidden="1" customHeight="1" x14ac:dyDescent="0.35">
      <c r="A393" s="331" t="str">
        <f>"TL03-02"&amp;TEXT(IFRSAlloc03,"-00")</f>
        <v>TL03-02-00</v>
      </c>
      <c r="B393" s="395"/>
      <c r="C393" s="418" t="str">
        <f>$C$350</f>
        <v>Depreciation</v>
      </c>
      <c r="D393" s="1173"/>
      <c r="E393" s="317" t="s">
        <v>750</v>
      </c>
      <c r="F393" s="994"/>
      <c r="G393" s="979">
        <f ca="1">IF(SUM(OFFSET($E355,0,$G$8):OFFSET($E355,0,G$8))&lt;&gt;0,(OFFSET($E356,0,G$8)/SUM(OFFSET($E355,0,$G$8):OFFSET($E355,0,G$8)))*SUM($G392:G392),0)</f>
        <v>0</v>
      </c>
      <c r="H393" s="979">
        <f ca="1">IF(SUM(OFFSET($E355,0,$G$8):OFFSET($E355,0,H$8))&lt;&gt;0,(OFFSET($E356,0,H$8)/SUM(OFFSET($E355,0,$G$8):OFFSET($E355,0,H$8)))*SUM($G392:H392),0)</f>
        <v>0</v>
      </c>
      <c r="I393" s="979">
        <f ca="1">IF(SUM(OFFSET($E355,0,$G$8):OFFSET($E355,0,I$8))&lt;&gt;0,(OFFSET($E356,0,I$8)/SUM(OFFSET($E355,0,$G$8):OFFSET($E355,0,I$8)))*SUM($G392:I392),0)</f>
        <v>0</v>
      </c>
      <c r="J393" s="979">
        <f ca="1">IF(SUM(OFFSET($E355,0,$G$8):OFFSET($E355,0,J$8))&lt;&gt;0,(OFFSET($E356,0,J$8)/SUM(OFFSET($E355,0,$G$8):OFFSET($E355,0,J$8)))*SUM($G392:J392),0)</f>
        <v>0</v>
      </c>
      <c r="K393" s="979">
        <f ca="1">IF(SUM(OFFSET($E355,0,$G$8):OFFSET($E355,0,K$8))&lt;&gt;0,(OFFSET($E356,0,K$8)/SUM(OFFSET($E355,0,$G$8):OFFSET($E355,0,K$8)))*SUM($G392:K392),0)</f>
        <v>0</v>
      </c>
      <c r="L393" s="979">
        <f ca="1">IF(SUM(OFFSET($E355,0,$G$8):OFFSET($E355,0,L$8))&lt;&gt;0,(OFFSET($E356,0,L$8)/SUM(OFFSET($E355,0,$G$8):OFFSET($E355,0,L$8)))*SUM($G392:L392),0)</f>
        <v>0</v>
      </c>
      <c r="M393" s="979">
        <f ca="1">IF(SUM(OFFSET($E355,0,$G$8):OFFSET($E355,0,M$8))&lt;&gt;0,(OFFSET($E356,0,M$8)/SUM(OFFSET($E355,0,$G$8):OFFSET($E355,0,M$8)))*SUM($G392:M392),0)</f>
        <v>0</v>
      </c>
      <c r="N393" s="979">
        <f ca="1">IF(SUM(OFFSET($E355,0,$G$8):OFFSET($E355,0,N$8))&lt;&gt;0,(OFFSET($E356,0,N$8)/SUM(OFFSET($E355,0,$G$8):OFFSET($E355,0,N$8)))*SUM($G392:N392),0)</f>
        <v>0</v>
      </c>
      <c r="O393" s="979">
        <f ca="1">IF(SUM(OFFSET($E355,0,$G$8):OFFSET($E355,0,O$8))&lt;&gt;0,(OFFSET($E356,0,O$8)/SUM(OFFSET($E355,0,$G$8):OFFSET($E355,0,O$8)))*SUM($G392:O392),0)</f>
        <v>0</v>
      </c>
      <c r="P393" s="979">
        <f ca="1">IF(SUM(OFFSET($E355,0,$G$8):OFFSET($E355,0,P$8))&lt;&gt;0,(OFFSET($E356,0,P$8)/SUM(OFFSET($E355,0,$G$8):OFFSET($E355,0,P$8)))*SUM($G392:P392),0)</f>
        <v>0</v>
      </c>
      <c r="Q393" s="409"/>
      <c r="R393" s="321"/>
      <c r="S393" s="319" t="s">
        <v>707</v>
      </c>
    </row>
    <row r="394" spans="1:19" ht="11.25" hidden="1" customHeight="1" x14ac:dyDescent="0.35">
      <c r="A394" s="331" t="str">
        <f>"TL03-03"&amp;TEXT(IFRSAlloc03,"-00")</f>
        <v>TL03-03-00</v>
      </c>
      <c r="B394" s="395"/>
      <c r="C394" s="416" t="str">
        <f>$C$351</f>
        <v>Balance</v>
      </c>
      <c r="D394" s="1178"/>
      <c r="E394" s="417" t="s">
        <v>751</v>
      </c>
      <c r="F394" s="1001"/>
      <c r="G394" s="1002">
        <f t="shared" ref="G394:L394" ca="1" si="128">G392+G393+OFFSET(G394,0,-1)</f>
        <v>0</v>
      </c>
      <c r="H394" s="1002">
        <f t="shared" ca="1" si="128"/>
        <v>0</v>
      </c>
      <c r="I394" s="1002">
        <f t="shared" ca="1" si="128"/>
        <v>0</v>
      </c>
      <c r="J394" s="1002">
        <f t="shared" ca="1" si="128"/>
        <v>0</v>
      </c>
      <c r="K394" s="1002">
        <f t="shared" ca="1" si="128"/>
        <v>0</v>
      </c>
      <c r="L394" s="1002">
        <f t="shared" ca="1" si="128"/>
        <v>0</v>
      </c>
      <c r="M394" s="1002">
        <f t="shared" ref="M394:N394" ca="1" si="129">M392+M393+OFFSET(M394,0,-1)</f>
        <v>0</v>
      </c>
      <c r="N394" s="1002">
        <f t="shared" ca="1" si="129"/>
        <v>0</v>
      </c>
      <c r="O394" s="1002">
        <f t="shared" ref="O394:P394" ca="1" si="130">O392+O393+OFFSET(O394,0,-1)</f>
        <v>0</v>
      </c>
      <c r="P394" s="1002">
        <f t="shared" ca="1" si="130"/>
        <v>0</v>
      </c>
      <c r="Q394" s="409"/>
      <c r="R394" s="321"/>
      <c r="S394" s="319" t="s">
        <v>707</v>
      </c>
    </row>
    <row r="395" spans="1:19" ht="11.25" hidden="1" customHeight="1" x14ac:dyDescent="0.35">
      <c r="A395" s="331" t="str">
        <f>"TL04-01"&amp;TEXT(IFRSAlloc04,"-00")</f>
        <v>TL04-01-00</v>
      </c>
      <c r="B395" s="395"/>
      <c r="C395" s="412" t="str">
        <f>$C$349&amp;IF(IFRSAlloc04&gt;0,INDEX(IFRSallocDD,IFRSAlloc04),"")</f>
        <v xml:space="preserve">Amount allocated on </v>
      </c>
      <c r="D395" s="1176"/>
      <c r="E395" s="413" t="s">
        <v>752</v>
      </c>
      <c r="F395" s="997"/>
      <c r="G395" s="1003">
        <f t="shared" ref="G395:L395" ca="1" si="131">IF(OFFSET($E$344,0,G$8)&lt;&gt;0,(OFFSET($E358,0,G$8)/OFFSET($E$344,0,G$8))*OFFSET($E$345,0,G$8),0)</f>
        <v>0</v>
      </c>
      <c r="H395" s="1003">
        <f t="shared" ca="1" si="131"/>
        <v>0</v>
      </c>
      <c r="I395" s="1003">
        <f t="shared" ca="1" si="131"/>
        <v>0</v>
      </c>
      <c r="J395" s="1003">
        <f t="shared" ca="1" si="131"/>
        <v>0</v>
      </c>
      <c r="K395" s="1003">
        <f t="shared" ca="1" si="131"/>
        <v>0</v>
      </c>
      <c r="L395" s="1003">
        <f t="shared" ca="1" si="131"/>
        <v>0</v>
      </c>
      <c r="M395" s="1003">
        <f t="shared" ref="M395:N395" ca="1" si="132">IF(OFFSET($E$344,0,M$8)&lt;&gt;0,(OFFSET($E358,0,M$8)/OFFSET($E$344,0,M$8))*OFFSET($E$345,0,M$8),0)</f>
        <v>0</v>
      </c>
      <c r="N395" s="1003">
        <f t="shared" ca="1" si="132"/>
        <v>0</v>
      </c>
      <c r="O395" s="1003">
        <f t="shared" ref="O395:P395" ca="1" si="133">IF(OFFSET($E$344,0,O$8)&lt;&gt;0,(OFFSET($E358,0,O$8)/OFFSET($E$344,0,O$8))*OFFSET($E$345,0,O$8),0)</f>
        <v>0</v>
      </c>
      <c r="P395" s="1003">
        <f t="shared" ca="1" si="133"/>
        <v>0</v>
      </c>
      <c r="Q395" s="409"/>
      <c r="R395" s="321"/>
      <c r="S395" s="319" t="s">
        <v>707</v>
      </c>
    </row>
    <row r="396" spans="1:19" ht="11.25" hidden="1" customHeight="1" x14ac:dyDescent="0.35">
      <c r="A396" s="331" t="str">
        <f>"TL04-02"&amp;TEXT(IFRSAlloc04,"-00")</f>
        <v>TL04-02-00</v>
      </c>
      <c r="B396" s="395"/>
      <c r="C396" s="418" t="str">
        <f>$C$350</f>
        <v>Depreciation</v>
      </c>
      <c r="D396" s="1173"/>
      <c r="E396" s="317" t="s">
        <v>753</v>
      </c>
      <c r="F396" s="994"/>
      <c r="G396" s="979">
        <f ca="1">IF(SUM(OFFSET($E358,0,$G$8):OFFSET($E358,0,G$8))&lt;&gt;0,(OFFSET($E359,0,G$8)/SUM(OFFSET($E358,0,$G$8):OFFSET($E358,0,G$8)))*SUM($G395:G395),0)</f>
        <v>0</v>
      </c>
      <c r="H396" s="979">
        <f ca="1">IF(SUM(OFFSET($E358,0,$G$8):OFFSET($E358,0,H$8))&lt;&gt;0,(OFFSET($E359,0,H$8)/SUM(OFFSET($E358,0,$G$8):OFFSET($E358,0,H$8)))*SUM($G395:H395),0)</f>
        <v>0</v>
      </c>
      <c r="I396" s="979">
        <f ca="1">IF(SUM(OFFSET($E358,0,$G$8):OFFSET($E358,0,I$8))&lt;&gt;0,(OFFSET($E359,0,I$8)/SUM(OFFSET($E358,0,$G$8):OFFSET($E358,0,I$8)))*SUM($G395:I395),0)</f>
        <v>0</v>
      </c>
      <c r="J396" s="979">
        <f ca="1">IF(SUM(OFFSET($E358,0,$G$8):OFFSET($E358,0,J$8))&lt;&gt;0,(OFFSET($E359,0,J$8)/SUM(OFFSET($E358,0,$G$8):OFFSET($E358,0,J$8)))*SUM($G395:J395),0)</f>
        <v>0</v>
      </c>
      <c r="K396" s="979">
        <f ca="1">IF(SUM(OFFSET($E358,0,$G$8):OFFSET($E358,0,K$8))&lt;&gt;0,(OFFSET($E359,0,K$8)/SUM(OFFSET($E358,0,$G$8):OFFSET($E358,0,K$8)))*SUM($G395:K395),0)</f>
        <v>0</v>
      </c>
      <c r="L396" s="979">
        <f ca="1">IF(SUM(OFFSET($E358,0,$G$8):OFFSET($E358,0,L$8))&lt;&gt;0,(OFFSET($E359,0,L$8)/SUM(OFFSET($E358,0,$G$8):OFFSET($E358,0,L$8)))*SUM($G395:L395),0)</f>
        <v>0</v>
      </c>
      <c r="M396" s="979">
        <f ca="1">IF(SUM(OFFSET($E358,0,$G$8):OFFSET($E358,0,M$8))&lt;&gt;0,(OFFSET($E359,0,M$8)/SUM(OFFSET($E358,0,$G$8):OFFSET($E358,0,M$8)))*SUM($G395:M395),0)</f>
        <v>0</v>
      </c>
      <c r="N396" s="979">
        <f ca="1">IF(SUM(OFFSET($E358,0,$G$8):OFFSET($E358,0,N$8))&lt;&gt;0,(OFFSET($E359,0,N$8)/SUM(OFFSET($E358,0,$G$8):OFFSET($E358,0,N$8)))*SUM($G395:N395),0)</f>
        <v>0</v>
      </c>
      <c r="O396" s="979">
        <f ca="1">IF(SUM(OFFSET($E358,0,$G$8):OFFSET($E358,0,O$8))&lt;&gt;0,(OFFSET($E359,0,O$8)/SUM(OFFSET($E358,0,$G$8):OFFSET($E358,0,O$8)))*SUM($G395:O395),0)</f>
        <v>0</v>
      </c>
      <c r="P396" s="979">
        <f ca="1">IF(SUM(OFFSET($E358,0,$G$8):OFFSET($E358,0,P$8))&lt;&gt;0,(OFFSET($E359,0,P$8)/SUM(OFFSET($E358,0,$G$8):OFFSET($E358,0,P$8)))*SUM($G395:P395),0)</f>
        <v>0</v>
      </c>
      <c r="Q396" s="409"/>
      <c r="R396" s="321"/>
      <c r="S396" s="319" t="s">
        <v>707</v>
      </c>
    </row>
    <row r="397" spans="1:19" ht="11.25" hidden="1" customHeight="1" x14ac:dyDescent="0.35">
      <c r="A397" s="331" t="str">
        <f>"TL04-03"&amp;TEXT(IFRSAlloc04,"-00")</f>
        <v>TL04-03-00</v>
      </c>
      <c r="B397" s="395"/>
      <c r="C397" s="416" t="str">
        <f>$C$351</f>
        <v>Balance</v>
      </c>
      <c r="D397" s="1178"/>
      <c r="E397" s="417" t="s">
        <v>754</v>
      </c>
      <c r="F397" s="1001"/>
      <c r="G397" s="1002">
        <f t="shared" ref="G397:L397" ca="1" si="134">G395+G396+OFFSET(G397,0,-1)</f>
        <v>0</v>
      </c>
      <c r="H397" s="1002">
        <f t="shared" ca="1" si="134"/>
        <v>0</v>
      </c>
      <c r="I397" s="1002">
        <f t="shared" ca="1" si="134"/>
        <v>0</v>
      </c>
      <c r="J397" s="1002">
        <f t="shared" ca="1" si="134"/>
        <v>0</v>
      </c>
      <c r="K397" s="1002">
        <f t="shared" ca="1" si="134"/>
        <v>0</v>
      </c>
      <c r="L397" s="1002">
        <f t="shared" ca="1" si="134"/>
        <v>0</v>
      </c>
      <c r="M397" s="1002">
        <f t="shared" ref="M397:N397" ca="1" si="135">M395+M396+OFFSET(M397,0,-1)</f>
        <v>0</v>
      </c>
      <c r="N397" s="1002">
        <f t="shared" ca="1" si="135"/>
        <v>0</v>
      </c>
      <c r="O397" s="1002">
        <f t="shared" ref="O397:P397" ca="1" si="136">O395+O396+OFFSET(O397,0,-1)</f>
        <v>0</v>
      </c>
      <c r="P397" s="1002">
        <f t="shared" ca="1" si="136"/>
        <v>0</v>
      </c>
      <c r="Q397" s="409"/>
      <c r="R397" s="321"/>
      <c r="S397" s="319" t="s">
        <v>707</v>
      </c>
    </row>
    <row r="398" spans="1:19" ht="11.25" hidden="1" customHeight="1" x14ac:dyDescent="0.35">
      <c r="A398" s="331" t="str">
        <f>"TL05-01"&amp;TEXT(IFRSAlloc05,"-00")</f>
        <v>TL05-01-00</v>
      </c>
      <c r="B398" s="395"/>
      <c r="C398" s="412" t="str">
        <f>$C$349&amp;IF(IFRSAlloc05&gt;0,INDEX(IFRSallocDD,IFRSAlloc05),"")</f>
        <v xml:space="preserve">Amount allocated on </v>
      </c>
      <c r="D398" s="1176"/>
      <c r="E398" s="413" t="s">
        <v>755</v>
      </c>
      <c r="F398" s="997"/>
      <c r="G398" s="1003">
        <f t="shared" ref="G398:L398" ca="1" si="137">IF(OFFSET($E$344,0,G$8)&lt;&gt;0,(OFFSET($E361,0,G$8)/OFFSET($E$344,0,G$8))*OFFSET($E$345,0,G$8),0)</f>
        <v>0</v>
      </c>
      <c r="H398" s="1003">
        <f t="shared" ca="1" si="137"/>
        <v>0</v>
      </c>
      <c r="I398" s="1003">
        <f t="shared" ca="1" si="137"/>
        <v>0</v>
      </c>
      <c r="J398" s="1003">
        <f t="shared" ca="1" si="137"/>
        <v>0</v>
      </c>
      <c r="K398" s="1003">
        <f t="shared" ca="1" si="137"/>
        <v>0</v>
      </c>
      <c r="L398" s="1003">
        <f t="shared" ca="1" si="137"/>
        <v>0</v>
      </c>
      <c r="M398" s="1003">
        <f t="shared" ref="M398:N398" ca="1" si="138">IF(OFFSET($E$344,0,M$8)&lt;&gt;0,(OFFSET($E361,0,M$8)/OFFSET($E$344,0,M$8))*OFFSET($E$345,0,M$8),0)</f>
        <v>0</v>
      </c>
      <c r="N398" s="1003">
        <f t="shared" ca="1" si="138"/>
        <v>0</v>
      </c>
      <c r="O398" s="1003">
        <f t="shared" ref="O398:P398" ca="1" si="139">IF(OFFSET($E$344,0,O$8)&lt;&gt;0,(OFFSET($E361,0,O$8)/OFFSET($E$344,0,O$8))*OFFSET($E$345,0,O$8),0)</f>
        <v>0</v>
      </c>
      <c r="P398" s="1003">
        <f t="shared" ca="1" si="139"/>
        <v>0</v>
      </c>
      <c r="Q398" s="409"/>
      <c r="R398" s="321"/>
      <c r="S398" s="319" t="s">
        <v>707</v>
      </c>
    </row>
    <row r="399" spans="1:19" ht="11.25" hidden="1" customHeight="1" x14ac:dyDescent="0.35">
      <c r="A399" s="331" t="str">
        <f>"TL05-02"&amp;TEXT(IFRSAlloc05,"-00")</f>
        <v>TL05-02-00</v>
      </c>
      <c r="B399" s="395"/>
      <c r="C399" s="418" t="str">
        <f>$C$350</f>
        <v>Depreciation</v>
      </c>
      <c r="D399" s="1173"/>
      <c r="E399" s="317" t="s">
        <v>756</v>
      </c>
      <c r="F399" s="994"/>
      <c r="G399" s="979">
        <f ca="1">IF(SUM(OFFSET($E361,0,$G$8):OFFSET($E361,0,G$8))&lt;&gt;0,(OFFSET($E362,0,G$8)/SUM(OFFSET($E361,0,$G$8):OFFSET($E361,0,G$8)))*SUM($G398:G398),0)</f>
        <v>0</v>
      </c>
      <c r="H399" s="979">
        <f ca="1">IF(SUM(OFFSET($E361,0,$G$8):OFFSET($E361,0,H$8))&lt;&gt;0,(OFFSET($E362,0,H$8)/SUM(OFFSET($E361,0,$G$8):OFFSET($E361,0,H$8)))*SUM($G398:H398),0)</f>
        <v>0</v>
      </c>
      <c r="I399" s="979">
        <f ca="1">IF(SUM(OFFSET($E361,0,$G$8):OFFSET($E361,0,I$8))&lt;&gt;0,(OFFSET($E362,0,I$8)/SUM(OFFSET($E361,0,$G$8):OFFSET($E361,0,I$8)))*SUM($G398:I398),0)</f>
        <v>0</v>
      </c>
      <c r="J399" s="979">
        <f ca="1">IF(SUM(OFFSET($E361,0,$G$8):OFFSET($E361,0,J$8))&lt;&gt;0,(OFFSET($E362,0,J$8)/SUM(OFFSET($E361,0,$G$8):OFFSET($E361,0,J$8)))*SUM($G398:J398),0)</f>
        <v>0</v>
      </c>
      <c r="K399" s="979">
        <f ca="1">IF(SUM(OFFSET($E361,0,$G$8):OFFSET($E361,0,K$8))&lt;&gt;0,(OFFSET($E362,0,K$8)/SUM(OFFSET($E361,0,$G$8):OFFSET($E361,0,K$8)))*SUM($G398:K398),0)</f>
        <v>0</v>
      </c>
      <c r="L399" s="979">
        <f ca="1">IF(SUM(OFFSET($E361,0,$G$8):OFFSET($E361,0,L$8))&lt;&gt;0,(OFFSET($E362,0,L$8)/SUM(OFFSET($E361,0,$G$8):OFFSET($E361,0,L$8)))*SUM($G398:L398),0)</f>
        <v>0</v>
      </c>
      <c r="M399" s="979">
        <f ca="1">IF(SUM(OFFSET($E361,0,$G$8):OFFSET($E361,0,M$8))&lt;&gt;0,(OFFSET($E362,0,M$8)/SUM(OFFSET($E361,0,$G$8):OFFSET($E361,0,M$8)))*SUM($G398:M398),0)</f>
        <v>0</v>
      </c>
      <c r="N399" s="979">
        <f ca="1">IF(SUM(OFFSET($E361,0,$G$8):OFFSET($E361,0,N$8))&lt;&gt;0,(OFFSET($E362,0,N$8)/SUM(OFFSET($E361,0,$G$8):OFFSET($E361,0,N$8)))*SUM($G398:N398),0)</f>
        <v>0</v>
      </c>
      <c r="O399" s="979">
        <f ca="1">IF(SUM(OFFSET($E361,0,$G$8):OFFSET($E361,0,O$8))&lt;&gt;0,(OFFSET($E362,0,O$8)/SUM(OFFSET($E361,0,$G$8):OFFSET($E361,0,O$8)))*SUM($G398:O398),0)</f>
        <v>0</v>
      </c>
      <c r="P399" s="979">
        <f ca="1">IF(SUM(OFFSET($E361,0,$G$8):OFFSET($E361,0,P$8))&lt;&gt;0,(OFFSET($E362,0,P$8)/SUM(OFFSET($E361,0,$G$8):OFFSET($E361,0,P$8)))*SUM($G398:P398),0)</f>
        <v>0</v>
      </c>
      <c r="Q399" s="409"/>
      <c r="R399" s="321"/>
      <c r="S399" s="319" t="s">
        <v>707</v>
      </c>
    </row>
    <row r="400" spans="1:19" ht="11.25" hidden="1" customHeight="1" x14ac:dyDescent="0.35">
      <c r="A400" s="331" t="str">
        <f>"TL05-03"&amp;TEXT(IFRSAlloc05,"-00")</f>
        <v>TL05-03-00</v>
      </c>
      <c r="B400" s="395"/>
      <c r="C400" s="416" t="str">
        <f>$C$351</f>
        <v>Balance</v>
      </c>
      <c r="D400" s="1178"/>
      <c r="E400" s="417" t="s">
        <v>757</v>
      </c>
      <c r="F400" s="1001"/>
      <c r="G400" s="1002">
        <f t="shared" ref="G400:L400" ca="1" si="140">G398+G399+OFFSET(G400,0,-1)</f>
        <v>0</v>
      </c>
      <c r="H400" s="1002">
        <f t="shared" ca="1" si="140"/>
        <v>0</v>
      </c>
      <c r="I400" s="1002">
        <f t="shared" ca="1" si="140"/>
        <v>0</v>
      </c>
      <c r="J400" s="1002">
        <f t="shared" ca="1" si="140"/>
        <v>0</v>
      </c>
      <c r="K400" s="1002">
        <f t="shared" ca="1" si="140"/>
        <v>0</v>
      </c>
      <c r="L400" s="1002">
        <f t="shared" ca="1" si="140"/>
        <v>0</v>
      </c>
      <c r="M400" s="1002">
        <f t="shared" ref="M400:N400" ca="1" si="141">M398+M399+OFFSET(M400,0,-1)</f>
        <v>0</v>
      </c>
      <c r="N400" s="1002">
        <f t="shared" ca="1" si="141"/>
        <v>0</v>
      </c>
      <c r="O400" s="1002">
        <f t="shared" ref="O400:P400" ca="1" si="142">O398+O399+OFFSET(O400,0,-1)</f>
        <v>0</v>
      </c>
      <c r="P400" s="1002">
        <f t="shared" ca="1" si="142"/>
        <v>0</v>
      </c>
      <c r="Q400" s="409"/>
      <c r="R400" s="321"/>
      <c r="S400" s="319" t="s">
        <v>707</v>
      </c>
    </row>
    <row r="401" spans="1:19" ht="11.25" hidden="1" customHeight="1" x14ac:dyDescent="0.35">
      <c r="A401" s="331" t="str">
        <f>"TL06-01"&amp;TEXT(IFRSAlloc06,"-00")</f>
        <v>TL06-01-00</v>
      </c>
      <c r="B401" s="395"/>
      <c r="C401" s="412" t="str">
        <f>$C$349&amp;IF(IFRSAlloc06&gt;0,INDEX(IFRSallocDD,IFRSAlloc06),"")</f>
        <v xml:space="preserve">Amount allocated on </v>
      </c>
      <c r="D401" s="1176"/>
      <c r="E401" s="413" t="s">
        <v>758</v>
      </c>
      <c r="F401" s="997"/>
      <c r="G401" s="1003">
        <f t="shared" ref="G401:L401" ca="1" si="143">IF(OFFSET($E$344,0,G$8)&lt;&gt;0,(OFFSET($E364,0,G$8)/OFFSET($E$344,0,G$8))*OFFSET($E$345,0,G$8),0)</f>
        <v>0</v>
      </c>
      <c r="H401" s="1003">
        <f t="shared" ca="1" si="143"/>
        <v>0</v>
      </c>
      <c r="I401" s="1003">
        <f t="shared" ca="1" si="143"/>
        <v>0</v>
      </c>
      <c r="J401" s="1003">
        <f t="shared" ca="1" si="143"/>
        <v>0</v>
      </c>
      <c r="K401" s="1003">
        <f t="shared" ca="1" si="143"/>
        <v>0</v>
      </c>
      <c r="L401" s="1003">
        <f t="shared" ca="1" si="143"/>
        <v>0</v>
      </c>
      <c r="M401" s="1003">
        <f t="shared" ref="M401:N401" ca="1" si="144">IF(OFFSET($E$344,0,M$8)&lt;&gt;0,(OFFSET($E364,0,M$8)/OFFSET($E$344,0,M$8))*OFFSET($E$345,0,M$8),0)</f>
        <v>0</v>
      </c>
      <c r="N401" s="1003">
        <f t="shared" ca="1" si="144"/>
        <v>0</v>
      </c>
      <c r="O401" s="1003">
        <f t="shared" ref="O401:P401" ca="1" si="145">IF(OFFSET($E$344,0,O$8)&lt;&gt;0,(OFFSET($E364,0,O$8)/OFFSET($E$344,0,O$8))*OFFSET($E$345,0,O$8),0)</f>
        <v>0</v>
      </c>
      <c r="P401" s="1003">
        <f t="shared" ca="1" si="145"/>
        <v>0</v>
      </c>
      <c r="Q401" s="409"/>
      <c r="R401" s="321"/>
      <c r="S401" s="319" t="s">
        <v>707</v>
      </c>
    </row>
    <row r="402" spans="1:19" ht="11.25" hidden="1" customHeight="1" x14ac:dyDescent="0.35">
      <c r="A402" s="331" t="str">
        <f>"TL06-02"&amp;TEXT(IFRSAlloc06,"-00")</f>
        <v>TL06-02-00</v>
      </c>
      <c r="B402" s="395"/>
      <c r="C402" s="418" t="str">
        <f>$C$350</f>
        <v>Depreciation</v>
      </c>
      <c r="D402" s="1173"/>
      <c r="E402" s="317" t="s">
        <v>759</v>
      </c>
      <c r="F402" s="994"/>
      <c r="G402" s="979">
        <f ca="1">IF(SUM(OFFSET($E364,0,$G$8):OFFSET($E364,0,G$8))&lt;&gt;0,(OFFSET($E365,0,G$8)/SUM(OFFSET($E364,0,$G$8):OFFSET($E364,0,G$8)))*SUM($G401:G401),0)</f>
        <v>0</v>
      </c>
      <c r="H402" s="979">
        <f ca="1">IF(SUM(OFFSET($E364,0,$G$8):OFFSET($E364,0,H$8))&lt;&gt;0,(OFFSET($E365,0,H$8)/SUM(OFFSET($E364,0,$G$8):OFFSET($E364,0,H$8)))*SUM($G401:H401),0)</f>
        <v>0</v>
      </c>
      <c r="I402" s="979">
        <f ca="1">IF(SUM(OFFSET($E364,0,$G$8):OFFSET($E364,0,I$8))&lt;&gt;0,(OFFSET($E365,0,I$8)/SUM(OFFSET($E364,0,$G$8):OFFSET($E364,0,I$8)))*SUM($G401:I401),0)</f>
        <v>0</v>
      </c>
      <c r="J402" s="979">
        <f ca="1">IF(SUM(OFFSET($E364,0,$G$8):OFFSET($E364,0,J$8))&lt;&gt;0,(OFFSET($E365,0,J$8)/SUM(OFFSET($E364,0,$G$8):OFFSET($E364,0,J$8)))*SUM($G401:J401),0)</f>
        <v>0</v>
      </c>
      <c r="K402" s="979">
        <f ca="1">IF(SUM(OFFSET($E364,0,$G$8):OFFSET($E364,0,K$8))&lt;&gt;0,(OFFSET($E365,0,K$8)/SUM(OFFSET($E364,0,$G$8):OFFSET($E364,0,K$8)))*SUM($G401:K401),0)</f>
        <v>0</v>
      </c>
      <c r="L402" s="979">
        <f ca="1">IF(SUM(OFFSET($E364,0,$G$8):OFFSET($E364,0,L$8))&lt;&gt;0,(OFFSET($E365,0,L$8)/SUM(OFFSET($E364,0,$G$8):OFFSET($E364,0,L$8)))*SUM($G401:L401),0)</f>
        <v>0</v>
      </c>
      <c r="M402" s="979">
        <f ca="1">IF(SUM(OFFSET($E364,0,$G$8):OFFSET($E364,0,M$8))&lt;&gt;0,(OFFSET($E365,0,M$8)/SUM(OFFSET($E364,0,$G$8):OFFSET($E364,0,M$8)))*SUM($G401:M401),0)</f>
        <v>0</v>
      </c>
      <c r="N402" s="979">
        <f ca="1">IF(SUM(OFFSET($E364,0,$G$8):OFFSET($E364,0,N$8))&lt;&gt;0,(OFFSET($E365,0,N$8)/SUM(OFFSET($E364,0,$G$8):OFFSET($E364,0,N$8)))*SUM($G401:N401),0)</f>
        <v>0</v>
      </c>
      <c r="O402" s="979">
        <f ca="1">IF(SUM(OFFSET($E364,0,$G$8):OFFSET($E364,0,O$8))&lt;&gt;0,(OFFSET($E365,0,O$8)/SUM(OFFSET($E364,0,$G$8):OFFSET($E364,0,O$8)))*SUM($G401:O401),0)</f>
        <v>0</v>
      </c>
      <c r="P402" s="979">
        <f ca="1">IF(SUM(OFFSET($E364,0,$G$8):OFFSET($E364,0,P$8))&lt;&gt;0,(OFFSET($E365,0,P$8)/SUM(OFFSET($E364,0,$G$8):OFFSET($E364,0,P$8)))*SUM($G401:P401),0)</f>
        <v>0</v>
      </c>
      <c r="Q402" s="409"/>
      <c r="R402" s="321"/>
      <c r="S402" s="319" t="s">
        <v>707</v>
      </c>
    </row>
    <row r="403" spans="1:19" ht="11.25" hidden="1" customHeight="1" x14ac:dyDescent="0.35">
      <c r="A403" s="331" t="str">
        <f>"TL06-03"&amp;TEXT(IFRSAlloc06,"-00")</f>
        <v>TL06-03-00</v>
      </c>
      <c r="B403" s="395"/>
      <c r="C403" s="416" t="str">
        <f>$C$351</f>
        <v>Balance</v>
      </c>
      <c r="D403" s="1178"/>
      <c r="E403" s="417" t="s">
        <v>760</v>
      </c>
      <c r="F403" s="1001"/>
      <c r="G403" s="1002">
        <f t="shared" ref="G403:L403" ca="1" si="146">G401+G402+OFFSET(G403,0,-1)</f>
        <v>0</v>
      </c>
      <c r="H403" s="1002">
        <f t="shared" ca="1" si="146"/>
        <v>0</v>
      </c>
      <c r="I403" s="1002">
        <f t="shared" ca="1" si="146"/>
        <v>0</v>
      </c>
      <c r="J403" s="1002">
        <f t="shared" ca="1" si="146"/>
        <v>0</v>
      </c>
      <c r="K403" s="1002">
        <f t="shared" ca="1" si="146"/>
        <v>0</v>
      </c>
      <c r="L403" s="1002">
        <f t="shared" ca="1" si="146"/>
        <v>0</v>
      </c>
      <c r="M403" s="1002">
        <f t="shared" ref="M403:N403" ca="1" si="147">M401+M402+OFFSET(M403,0,-1)</f>
        <v>0</v>
      </c>
      <c r="N403" s="1002">
        <f t="shared" ca="1" si="147"/>
        <v>0</v>
      </c>
      <c r="O403" s="1002">
        <f t="shared" ref="O403:P403" ca="1" si="148">O401+O402+OFFSET(O403,0,-1)</f>
        <v>0</v>
      </c>
      <c r="P403" s="1002">
        <f t="shared" ca="1" si="148"/>
        <v>0</v>
      </c>
      <c r="Q403" s="409"/>
      <c r="R403" s="321"/>
      <c r="S403" s="319" t="s">
        <v>707</v>
      </c>
    </row>
    <row r="404" spans="1:19" ht="11.25" hidden="1" customHeight="1" x14ac:dyDescent="0.35">
      <c r="A404" s="331" t="str">
        <f>"TL07-01"&amp;TEXT(IFRSAlloc07,"-00")</f>
        <v>TL07-01-00</v>
      </c>
      <c r="B404" s="395"/>
      <c r="C404" s="412" t="str">
        <f>$C$349&amp;IF(IFRSAlloc07&gt;0,INDEX(IFRSallocDD,IFRSAlloc07),"")</f>
        <v xml:space="preserve">Amount allocated on </v>
      </c>
      <c r="D404" s="1176"/>
      <c r="E404" s="413" t="s">
        <v>761</v>
      </c>
      <c r="F404" s="997"/>
      <c r="G404" s="1003">
        <f t="shared" ref="G404:L404" ca="1" si="149">IF(OFFSET($E$344,0,G$8)&lt;&gt;0,(OFFSET($E367,0,G$8)/OFFSET($E$344,0,G$8))*OFFSET($E$345,0,G$8),0)</f>
        <v>0</v>
      </c>
      <c r="H404" s="1003">
        <f t="shared" ca="1" si="149"/>
        <v>0</v>
      </c>
      <c r="I404" s="1003">
        <f t="shared" ca="1" si="149"/>
        <v>0</v>
      </c>
      <c r="J404" s="1003">
        <f t="shared" ca="1" si="149"/>
        <v>0</v>
      </c>
      <c r="K404" s="1003">
        <f t="shared" ca="1" si="149"/>
        <v>0</v>
      </c>
      <c r="L404" s="1003">
        <f t="shared" ca="1" si="149"/>
        <v>0</v>
      </c>
      <c r="M404" s="1003">
        <f t="shared" ref="M404:N404" ca="1" si="150">IF(OFFSET($E$344,0,M$8)&lt;&gt;0,(OFFSET($E367,0,M$8)/OFFSET($E$344,0,M$8))*OFFSET($E$345,0,M$8),0)</f>
        <v>0</v>
      </c>
      <c r="N404" s="1003">
        <f t="shared" ca="1" si="150"/>
        <v>0</v>
      </c>
      <c r="O404" s="1003">
        <f t="shared" ref="O404:P404" ca="1" si="151">IF(OFFSET($E$344,0,O$8)&lt;&gt;0,(OFFSET($E367,0,O$8)/OFFSET($E$344,0,O$8))*OFFSET($E$345,0,O$8),0)</f>
        <v>0</v>
      </c>
      <c r="P404" s="1003">
        <f t="shared" ca="1" si="151"/>
        <v>0</v>
      </c>
      <c r="Q404" s="409"/>
      <c r="R404" s="321"/>
      <c r="S404" s="319" t="s">
        <v>707</v>
      </c>
    </row>
    <row r="405" spans="1:19" ht="11.25" hidden="1" customHeight="1" x14ac:dyDescent="0.35">
      <c r="A405" s="331" t="str">
        <f>"TL07-02"&amp;TEXT(IFRSAlloc07,"-00")</f>
        <v>TL07-02-00</v>
      </c>
      <c r="B405" s="395"/>
      <c r="C405" s="418" t="str">
        <f>$C$350</f>
        <v>Depreciation</v>
      </c>
      <c r="D405" s="1173"/>
      <c r="E405" s="317" t="s">
        <v>762</v>
      </c>
      <c r="F405" s="994"/>
      <c r="G405" s="979">
        <f ca="1">IF(SUM(OFFSET($E367,0,$G$8):OFFSET($E367,0,G$8))&lt;&gt;0,(OFFSET($E368,0,G$8)/SUM(OFFSET($E367,0,$G$8):OFFSET($E367,0,G$8)))*SUM($G404:G404),0)</f>
        <v>0</v>
      </c>
      <c r="H405" s="979">
        <f ca="1">IF(SUM(OFFSET($E367,0,$G$8):OFFSET($E367,0,H$8))&lt;&gt;0,(OFFSET($E368,0,H$8)/SUM(OFFSET($E367,0,$G$8):OFFSET($E367,0,H$8)))*SUM($G404:H404),0)</f>
        <v>0</v>
      </c>
      <c r="I405" s="979">
        <f ca="1">IF(SUM(OFFSET($E367,0,$G$8):OFFSET($E367,0,I$8))&lt;&gt;0,(OFFSET($E368,0,I$8)/SUM(OFFSET($E367,0,$G$8):OFFSET($E367,0,I$8)))*SUM($G404:I404),0)</f>
        <v>0</v>
      </c>
      <c r="J405" s="979">
        <f ca="1">IF(SUM(OFFSET($E367,0,$G$8):OFFSET($E367,0,J$8))&lt;&gt;0,(OFFSET($E368,0,J$8)/SUM(OFFSET($E367,0,$G$8):OFFSET($E367,0,J$8)))*SUM($G404:J404),0)</f>
        <v>0</v>
      </c>
      <c r="K405" s="979">
        <f ca="1">IF(SUM(OFFSET($E367,0,$G$8):OFFSET($E367,0,K$8))&lt;&gt;0,(OFFSET($E368,0,K$8)/SUM(OFFSET($E367,0,$G$8):OFFSET($E367,0,K$8)))*SUM($G404:K404),0)</f>
        <v>0</v>
      </c>
      <c r="L405" s="979">
        <f ca="1">IF(SUM(OFFSET($E367,0,$G$8):OFFSET($E367,0,L$8))&lt;&gt;0,(OFFSET($E368,0,L$8)/SUM(OFFSET($E367,0,$G$8):OFFSET($E367,0,L$8)))*SUM($G404:L404),0)</f>
        <v>0</v>
      </c>
      <c r="M405" s="979">
        <f ca="1">IF(SUM(OFFSET($E367,0,$G$8):OFFSET($E367,0,M$8))&lt;&gt;0,(OFFSET($E368,0,M$8)/SUM(OFFSET($E367,0,$G$8):OFFSET($E367,0,M$8)))*SUM($G404:M404),0)</f>
        <v>0</v>
      </c>
      <c r="N405" s="979">
        <f ca="1">IF(SUM(OFFSET($E367,0,$G$8):OFFSET($E367,0,N$8))&lt;&gt;0,(OFFSET($E368,0,N$8)/SUM(OFFSET($E367,0,$G$8):OFFSET($E367,0,N$8)))*SUM($G404:N404),0)</f>
        <v>0</v>
      </c>
      <c r="O405" s="979">
        <f ca="1">IF(SUM(OFFSET($E367,0,$G$8):OFFSET($E367,0,O$8))&lt;&gt;0,(OFFSET($E368,0,O$8)/SUM(OFFSET($E367,0,$G$8):OFFSET($E367,0,O$8)))*SUM($G404:O404),0)</f>
        <v>0</v>
      </c>
      <c r="P405" s="979">
        <f ca="1">IF(SUM(OFFSET($E367,0,$G$8):OFFSET($E367,0,P$8))&lt;&gt;0,(OFFSET($E368,0,P$8)/SUM(OFFSET($E367,0,$G$8):OFFSET($E367,0,P$8)))*SUM($G404:P404),0)</f>
        <v>0</v>
      </c>
      <c r="Q405" s="409"/>
      <c r="R405" s="321"/>
      <c r="S405" s="319" t="s">
        <v>707</v>
      </c>
    </row>
    <row r="406" spans="1:19" ht="11.25" hidden="1" customHeight="1" x14ac:dyDescent="0.35">
      <c r="A406" s="331" t="str">
        <f>"TL07-03"&amp;TEXT(IFRSAlloc07,"-00")</f>
        <v>TL07-03-00</v>
      </c>
      <c r="B406" s="395"/>
      <c r="C406" s="416" t="str">
        <f>$C$351</f>
        <v>Balance</v>
      </c>
      <c r="D406" s="1178"/>
      <c r="E406" s="417" t="s">
        <v>763</v>
      </c>
      <c r="F406" s="1001"/>
      <c r="G406" s="1002">
        <f t="shared" ref="G406:L406" ca="1" si="152">G404+G405+OFFSET(G406,0,-1)</f>
        <v>0</v>
      </c>
      <c r="H406" s="1002">
        <f t="shared" ca="1" si="152"/>
        <v>0</v>
      </c>
      <c r="I406" s="1002">
        <f t="shared" ca="1" si="152"/>
        <v>0</v>
      </c>
      <c r="J406" s="1002">
        <f t="shared" ca="1" si="152"/>
        <v>0</v>
      </c>
      <c r="K406" s="1002">
        <f t="shared" ca="1" si="152"/>
        <v>0</v>
      </c>
      <c r="L406" s="1002">
        <f t="shared" ca="1" si="152"/>
        <v>0</v>
      </c>
      <c r="M406" s="1002">
        <f t="shared" ref="M406:N406" ca="1" si="153">M404+M405+OFFSET(M406,0,-1)</f>
        <v>0</v>
      </c>
      <c r="N406" s="1002">
        <f t="shared" ca="1" si="153"/>
        <v>0</v>
      </c>
      <c r="O406" s="1002">
        <f t="shared" ref="O406:P406" ca="1" si="154">O404+O405+OFFSET(O406,0,-1)</f>
        <v>0</v>
      </c>
      <c r="P406" s="1002">
        <f t="shared" ca="1" si="154"/>
        <v>0</v>
      </c>
      <c r="Q406" s="409"/>
      <c r="R406" s="321"/>
      <c r="S406" s="319" t="s">
        <v>707</v>
      </c>
    </row>
    <row r="407" spans="1:19" ht="11.25" hidden="1" customHeight="1" x14ac:dyDescent="0.35">
      <c r="A407" s="331" t="str">
        <f>"TL08-01"&amp;TEXT(IFRSAlloc08,"-00")</f>
        <v>TL08-01-00</v>
      </c>
      <c r="B407" s="395"/>
      <c r="C407" s="412" t="str">
        <f>$C$349&amp;IF(IFRSAlloc08&gt;0,INDEX(IFRSallocDD,IFRSAlloc08),"")</f>
        <v xml:space="preserve">Amount allocated on </v>
      </c>
      <c r="D407" s="1176"/>
      <c r="E407" s="413" t="s">
        <v>764</v>
      </c>
      <c r="F407" s="997"/>
      <c r="G407" s="1003">
        <f t="shared" ref="G407:L407" ca="1" si="155">IF(OFFSET($E$344,0,G$8)&lt;&gt;0,(OFFSET($E370,0,G$8)/OFFSET($E$344,0,G$8))*OFFSET($E$345,0,G$8),0)</f>
        <v>0</v>
      </c>
      <c r="H407" s="1003">
        <f t="shared" ca="1" si="155"/>
        <v>0</v>
      </c>
      <c r="I407" s="1003">
        <f t="shared" ca="1" si="155"/>
        <v>0</v>
      </c>
      <c r="J407" s="1003">
        <f t="shared" ca="1" si="155"/>
        <v>0</v>
      </c>
      <c r="K407" s="1003">
        <f t="shared" ca="1" si="155"/>
        <v>0</v>
      </c>
      <c r="L407" s="1003">
        <f t="shared" ca="1" si="155"/>
        <v>0</v>
      </c>
      <c r="M407" s="1003">
        <f t="shared" ref="M407:N407" ca="1" si="156">IF(OFFSET($E$344,0,M$8)&lt;&gt;0,(OFFSET($E370,0,M$8)/OFFSET($E$344,0,M$8))*OFFSET($E$345,0,M$8),0)</f>
        <v>0</v>
      </c>
      <c r="N407" s="1003">
        <f t="shared" ca="1" si="156"/>
        <v>0</v>
      </c>
      <c r="O407" s="1003">
        <f t="shared" ref="O407:P407" ca="1" si="157">IF(OFFSET($E$344,0,O$8)&lt;&gt;0,(OFFSET($E370,0,O$8)/OFFSET($E$344,0,O$8))*OFFSET($E$345,0,O$8),0)</f>
        <v>0</v>
      </c>
      <c r="P407" s="1003">
        <f t="shared" ca="1" si="157"/>
        <v>0</v>
      </c>
      <c r="Q407" s="409"/>
      <c r="R407" s="321"/>
      <c r="S407" s="319" t="s">
        <v>707</v>
      </c>
    </row>
    <row r="408" spans="1:19" ht="11.25" hidden="1" customHeight="1" x14ac:dyDescent="0.35">
      <c r="A408" s="331" t="str">
        <f>"TL08-02"&amp;TEXT(IFRSAlloc08,"-00")</f>
        <v>TL08-02-00</v>
      </c>
      <c r="B408" s="395"/>
      <c r="C408" s="418" t="str">
        <f>$C$350</f>
        <v>Depreciation</v>
      </c>
      <c r="D408" s="1173"/>
      <c r="E408" s="317" t="s">
        <v>765</v>
      </c>
      <c r="F408" s="994"/>
      <c r="G408" s="979">
        <f ca="1">IF(SUM(OFFSET($E370,0,$G$8):OFFSET($E370,0,G$8))&lt;&gt;0,(OFFSET($E371,0,G$8)/SUM(OFFSET($E370,0,$G$8):OFFSET($E370,0,G$8)))*SUM($G407:G407),0)</f>
        <v>0</v>
      </c>
      <c r="H408" s="979">
        <f ca="1">IF(SUM(OFFSET($E370,0,$G$8):OFFSET($E370,0,H$8))&lt;&gt;0,(OFFSET($E371,0,H$8)/SUM(OFFSET($E370,0,$G$8):OFFSET($E370,0,H$8)))*SUM($G407:H407),0)</f>
        <v>0</v>
      </c>
      <c r="I408" s="979">
        <f ca="1">IF(SUM(OFFSET($E370,0,$G$8):OFFSET($E370,0,I$8))&lt;&gt;0,(OFFSET($E371,0,I$8)/SUM(OFFSET($E370,0,$G$8):OFFSET($E370,0,I$8)))*SUM($G407:I407),0)</f>
        <v>0</v>
      </c>
      <c r="J408" s="979">
        <f ca="1">IF(SUM(OFFSET($E370,0,$G$8):OFFSET($E370,0,J$8))&lt;&gt;0,(OFFSET($E371,0,J$8)/SUM(OFFSET($E370,0,$G$8):OFFSET($E370,0,J$8)))*SUM($G407:J407),0)</f>
        <v>0</v>
      </c>
      <c r="K408" s="979">
        <f ca="1">IF(SUM(OFFSET($E370,0,$G$8):OFFSET($E370,0,K$8))&lt;&gt;0,(OFFSET($E371,0,K$8)/SUM(OFFSET($E370,0,$G$8):OFFSET($E370,0,K$8)))*SUM($G407:K407),0)</f>
        <v>0</v>
      </c>
      <c r="L408" s="979">
        <f ca="1">IF(SUM(OFFSET($E370,0,$G$8):OFFSET($E370,0,L$8))&lt;&gt;0,(OFFSET($E371,0,L$8)/SUM(OFFSET($E370,0,$G$8):OFFSET($E370,0,L$8)))*SUM($G407:L407),0)</f>
        <v>0</v>
      </c>
      <c r="M408" s="979">
        <f ca="1">IF(SUM(OFFSET($E370,0,$G$8):OFFSET($E370,0,M$8))&lt;&gt;0,(OFFSET($E371,0,M$8)/SUM(OFFSET($E370,0,$G$8):OFFSET($E370,0,M$8)))*SUM($G407:M407),0)</f>
        <v>0</v>
      </c>
      <c r="N408" s="979">
        <f ca="1">IF(SUM(OFFSET($E370,0,$G$8):OFFSET($E370,0,N$8))&lt;&gt;0,(OFFSET($E371,0,N$8)/SUM(OFFSET($E370,0,$G$8):OFFSET($E370,0,N$8)))*SUM($G407:N407),0)</f>
        <v>0</v>
      </c>
      <c r="O408" s="979">
        <f ca="1">IF(SUM(OFFSET($E370,0,$G$8):OFFSET($E370,0,O$8))&lt;&gt;0,(OFFSET($E371,0,O$8)/SUM(OFFSET($E370,0,$G$8):OFFSET($E370,0,O$8)))*SUM($G407:O407),0)</f>
        <v>0</v>
      </c>
      <c r="P408" s="979">
        <f ca="1">IF(SUM(OFFSET($E370,0,$G$8):OFFSET($E370,0,P$8))&lt;&gt;0,(OFFSET($E371,0,P$8)/SUM(OFFSET($E370,0,$G$8):OFFSET($E370,0,P$8)))*SUM($G407:P407),0)</f>
        <v>0</v>
      </c>
      <c r="Q408" s="409"/>
      <c r="R408" s="321"/>
      <c r="S408" s="319" t="s">
        <v>707</v>
      </c>
    </row>
    <row r="409" spans="1:19" ht="11.25" hidden="1" customHeight="1" x14ac:dyDescent="0.35">
      <c r="A409" s="331" t="str">
        <f>"TL08-03"&amp;TEXT(IFRSAlloc08,"-00")</f>
        <v>TL08-03-00</v>
      </c>
      <c r="B409" s="395"/>
      <c r="C409" s="416" t="str">
        <f>$C$351</f>
        <v>Balance</v>
      </c>
      <c r="D409" s="1178"/>
      <c r="E409" s="417" t="s">
        <v>766</v>
      </c>
      <c r="F409" s="1001"/>
      <c r="G409" s="1002">
        <f t="shared" ref="G409:L409" ca="1" si="158">G407+G408+OFFSET(G409,0,-1)</f>
        <v>0</v>
      </c>
      <c r="H409" s="1002">
        <f t="shared" ca="1" si="158"/>
        <v>0</v>
      </c>
      <c r="I409" s="1002">
        <f t="shared" ca="1" si="158"/>
        <v>0</v>
      </c>
      <c r="J409" s="1002">
        <f t="shared" ca="1" si="158"/>
        <v>0</v>
      </c>
      <c r="K409" s="1002">
        <f t="shared" ca="1" si="158"/>
        <v>0</v>
      </c>
      <c r="L409" s="1002">
        <f t="shared" ca="1" si="158"/>
        <v>0</v>
      </c>
      <c r="M409" s="1002">
        <f t="shared" ref="M409:N409" ca="1" si="159">M407+M408+OFFSET(M409,0,-1)</f>
        <v>0</v>
      </c>
      <c r="N409" s="1002">
        <f t="shared" ca="1" si="159"/>
        <v>0</v>
      </c>
      <c r="O409" s="1002">
        <f t="shared" ref="O409:P409" ca="1" si="160">O407+O408+OFFSET(O409,0,-1)</f>
        <v>0</v>
      </c>
      <c r="P409" s="1002">
        <f t="shared" ca="1" si="160"/>
        <v>0</v>
      </c>
      <c r="Q409" s="409"/>
      <c r="R409" s="321"/>
      <c r="S409" s="319" t="s">
        <v>707</v>
      </c>
    </row>
    <row r="410" spans="1:19" ht="11.25" hidden="1" customHeight="1" x14ac:dyDescent="0.35">
      <c r="A410" s="331" t="str">
        <f>"TL09-01"&amp;TEXT(IFRSAlloc09,"-00")</f>
        <v>TL09-01-00</v>
      </c>
      <c r="B410" s="395"/>
      <c r="C410" s="412" t="str">
        <f>$C$349&amp;IF(IFRSAlloc09&gt;0,INDEX(IFRSallocDD,IFRSAlloc09),"")</f>
        <v xml:space="preserve">Amount allocated on </v>
      </c>
      <c r="D410" s="1176"/>
      <c r="E410" s="413" t="s">
        <v>767</v>
      </c>
      <c r="F410" s="997"/>
      <c r="G410" s="1003">
        <f t="shared" ref="G410:L410" ca="1" si="161">IF(OFFSET($E$344,0,G$8)&lt;&gt;0,(OFFSET($E373,0,G$8)/OFFSET($E$344,0,G$8))*OFFSET($E$345,0,G$8),0)</f>
        <v>0</v>
      </c>
      <c r="H410" s="1003">
        <f t="shared" ca="1" si="161"/>
        <v>0</v>
      </c>
      <c r="I410" s="1003">
        <f t="shared" ca="1" si="161"/>
        <v>0</v>
      </c>
      <c r="J410" s="1003">
        <f t="shared" ca="1" si="161"/>
        <v>0</v>
      </c>
      <c r="K410" s="1003">
        <f t="shared" ca="1" si="161"/>
        <v>0</v>
      </c>
      <c r="L410" s="1003">
        <f t="shared" ca="1" si="161"/>
        <v>0</v>
      </c>
      <c r="M410" s="1003">
        <f t="shared" ref="M410:N410" ca="1" si="162">IF(OFFSET($E$344,0,M$8)&lt;&gt;0,(OFFSET($E373,0,M$8)/OFFSET($E$344,0,M$8))*OFFSET($E$345,0,M$8),0)</f>
        <v>0</v>
      </c>
      <c r="N410" s="1003">
        <f t="shared" ca="1" si="162"/>
        <v>0</v>
      </c>
      <c r="O410" s="1003">
        <f t="shared" ref="O410:P410" ca="1" si="163">IF(OFFSET($E$344,0,O$8)&lt;&gt;0,(OFFSET($E373,0,O$8)/OFFSET($E$344,0,O$8))*OFFSET($E$345,0,O$8),0)</f>
        <v>0</v>
      </c>
      <c r="P410" s="1003">
        <f t="shared" ca="1" si="163"/>
        <v>0</v>
      </c>
      <c r="Q410" s="409"/>
      <c r="R410" s="321"/>
      <c r="S410" s="319" t="s">
        <v>707</v>
      </c>
    </row>
    <row r="411" spans="1:19" ht="11.25" hidden="1" customHeight="1" x14ac:dyDescent="0.35">
      <c r="A411" s="331" t="str">
        <f>"TL09-02"&amp;TEXT(IFRSAlloc09,"-00")</f>
        <v>TL09-02-00</v>
      </c>
      <c r="B411" s="395"/>
      <c r="C411" s="418" t="str">
        <f>$C$350</f>
        <v>Depreciation</v>
      </c>
      <c r="D411" s="1173"/>
      <c r="E411" s="317" t="s">
        <v>768</v>
      </c>
      <c r="F411" s="994"/>
      <c r="G411" s="979">
        <f ca="1">IF(SUM(OFFSET($E373,0,$G$8):OFFSET($E373,0,G$8))&lt;&gt;0,(OFFSET($E374,0,G$8)/SUM(OFFSET($E373,0,$G$8):OFFSET($E373,0,G$8)))*SUM($G410:G410),0)</f>
        <v>0</v>
      </c>
      <c r="H411" s="979">
        <f ca="1">IF(SUM(OFFSET($E373,0,$G$8):OFFSET($E373,0,H$8))&lt;&gt;0,(OFFSET($E374,0,H$8)/SUM(OFFSET($E373,0,$G$8):OFFSET($E373,0,H$8)))*SUM($G410:H410),0)</f>
        <v>0</v>
      </c>
      <c r="I411" s="979">
        <f ca="1">IF(SUM(OFFSET($E373,0,$G$8):OFFSET($E373,0,I$8))&lt;&gt;0,(OFFSET($E374,0,I$8)/SUM(OFFSET($E373,0,$G$8):OFFSET($E373,0,I$8)))*SUM($G410:I410),0)</f>
        <v>0</v>
      </c>
      <c r="J411" s="979">
        <f ca="1">IF(SUM(OFFSET($E373,0,$G$8):OFFSET($E373,0,J$8))&lt;&gt;0,(OFFSET($E374,0,J$8)/SUM(OFFSET($E373,0,$G$8):OFFSET($E373,0,J$8)))*SUM($G410:J410),0)</f>
        <v>0</v>
      </c>
      <c r="K411" s="979">
        <f ca="1">IF(SUM(OFFSET($E373,0,$G$8):OFFSET($E373,0,K$8))&lt;&gt;0,(OFFSET($E374,0,K$8)/SUM(OFFSET($E373,0,$G$8):OFFSET($E373,0,K$8)))*SUM($G410:K410),0)</f>
        <v>0</v>
      </c>
      <c r="L411" s="979">
        <f ca="1">IF(SUM(OFFSET($E373,0,$G$8):OFFSET($E373,0,L$8))&lt;&gt;0,(OFFSET($E374,0,L$8)/SUM(OFFSET($E373,0,$G$8):OFFSET($E373,0,L$8)))*SUM($G410:L410),0)</f>
        <v>0</v>
      </c>
      <c r="M411" s="979">
        <f ca="1">IF(SUM(OFFSET($E373,0,$G$8):OFFSET($E373,0,M$8))&lt;&gt;0,(OFFSET($E374,0,M$8)/SUM(OFFSET($E373,0,$G$8):OFFSET($E373,0,M$8)))*SUM($G410:M410),0)</f>
        <v>0</v>
      </c>
      <c r="N411" s="979">
        <f ca="1">IF(SUM(OFFSET($E373,0,$G$8):OFFSET($E373,0,N$8))&lt;&gt;0,(OFFSET($E374,0,N$8)/SUM(OFFSET($E373,0,$G$8):OFFSET($E373,0,N$8)))*SUM($G410:N410),0)</f>
        <v>0</v>
      </c>
      <c r="O411" s="979">
        <f ca="1">IF(SUM(OFFSET($E373,0,$G$8):OFFSET($E373,0,O$8))&lt;&gt;0,(OFFSET($E374,0,O$8)/SUM(OFFSET($E373,0,$G$8):OFFSET($E373,0,O$8)))*SUM($G410:O410),0)</f>
        <v>0</v>
      </c>
      <c r="P411" s="979">
        <f ca="1">IF(SUM(OFFSET($E373,0,$G$8):OFFSET($E373,0,P$8))&lt;&gt;0,(OFFSET($E374,0,P$8)/SUM(OFFSET($E373,0,$G$8):OFFSET($E373,0,P$8)))*SUM($G410:P410),0)</f>
        <v>0</v>
      </c>
      <c r="Q411" s="409"/>
      <c r="R411" s="321"/>
      <c r="S411" s="319" t="s">
        <v>707</v>
      </c>
    </row>
    <row r="412" spans="1:19" ht="11.25" hidden="1" customHeight="1" x14ac:dyDescent="0.35">
      <c r="A412" s="331" t="str">
        <f>"TL09-03"&amp;TEXT(IFRSAlloc09,"-00")</f>
        <v>TL09-03-00</v>
      </c>
      <c r="B412" s="395"/>
      <c r="C412" s="416" t="str">
        <f>$C$351</f>
        <v>Balance</v>
      </c>
      <c r="D412" s="1178"/>
      <c r="E412" s="417" t="s">
        <v>769</v>
      </c>
      <c r="F412" s="1001"/>
      <c r="G412" s="1002">
        <f t="shared" ref="G412:L412" ca="1" si="164">G410+G411+OFFSET(G412,0,-1)</f>
        <v>0</v>
      </c>
      <c r="H412" s="1002">
        <f t="shared" ca="1" si="164"/>
        <v>0</v>
      </c>
      <c r="I412" s="1002">
        <f t="shared" ca="1" si="164"/>
        <v>0</v>
      </c>
      <c r="J412" s="1002">
        <f t="shared" ca="1" si="164"/>
        <v>0</v>
      </c>
      <c r="K412" s="1002">
        <f t="shared" ca="1" si="164"/>
        <v>0</v>
      </c>
      <c r="L412" s="1002">
        <f t="shared" ca="1" si="164"/>
        <v>0</v>
      </c>
      <c r="M412" s="1002">
        <f t="shared" ref="M412:N412" ca="1" si="165">M410+M411+OFFSET(M412,0,-1)</f>
        <v>0</v>
      </c>
      <c r="N412" s="1002">
        <f t="shared" ca="1" si="165"/>
        <v>0</v>
      </c>
      <c r="O412" s="1002">
        <f t="shared" ref="O412:P412" ca="1" si="166">O410+O411+OFFSET(O412,0,-1)</f>
        <v>0</v>
      </c>
      <c r="P412" s="1002">
        <f t="shared" ca="1" si="166"/>
        <v>0</v>
      </c>
      <c r="Q412" s="409"/>
      <c r="R412" s="321"/>
      <c r="S412" s="319" t="s">
        <v>707</v>
      </c>
    </row>
    <row r="413" spans="1:19" ht="11.25" hidden="1" customHeight="1" x14ac:dyDescent="0.35">
      <c r="A413" s="331" t="str">
        <f>"TL10-01"&amp;TEXT(IFRSAlloc10,"-00")</f>
        <v>TL10-01-00</v>
      </c>
      <c r="B413" s="395"/>
      <c r="C413" s="412" t="str">
        <f>$C$349&amp;IF(IFRSAlloc10&gt;0,INDEX(IFRSallocDD,IFRSAlloc10),"")</f>
        <v xml:space="preserve">Amount allocated on </v>
      </c>
      <c r="D413" s="1176"/>
      <c r="E413" s="413" t="s">
        <v>770</v>
      </c>
      <c r="F413" s="997"/>
      <c r="G413" s="1003">
        <f t="shared" ref="G413:L413" ca="1" si="167">IF(OFFSET($E$344,0,G$8)&lt;&gt;0,(OFFSET($E376,0,G$8)/OFFSET($E$344,0,G$8))*OFFSET($E$345,0,G$8),0)</f>
        <v>0</v>
      </c>
      <c r="H413" s="1003">
        <f t="shared" ca="1" si="167"/>
        <v>0</v>
      </c>
      <c r="I413" s="1003">
        <f t="shared" ca="1" si="167"/>
        <v>0</v>
      </c>
      <c r="J413" s="1003">
        <f t="shared" ca="1" si="167"/>
        <v>0</v>
      </c>
      <c r="K413" s="1003">
        <f t="shared" ca="1" si="167"/>
        <v>0</v>
      </c>
      <c r="L413" s="1003">
        <f t="shared" ca="1" si="167"/>
        <v>0</v>
      </c>
      <c r="M413" s="1003">
        <f t="shared" ref="M413:N413" ca="1" si="168">IF(OFFSET($E$344,0,M$8)&lt;&gt;0,(OFFSET($E376,0,M$8)/OFFSET($E$344,0,M$8))*OFFSET($E$345,0,M$8),0)</f>
        <v>0</v>
      </c>
      <c r="N413" s="1003">
        <f t="shared" ca="1" si="168"/>
        <v>0</v>
      </c>
      <c r="O413" s="1003">
        <f t="shared" ref="O413:P413" ca="1" si="169">IF(OFFSET($E$344,0,O$8)&lt;&gt;0,(OFFSET($E376,0,O$8)/OFFSET($E$344,0,O$8))*OFFSET($E$345,0,O$8),0)</f>
        <v>0</v>
      </c>
      <c r="P413" s="1003">
        <f t="shared" ca="1" si="169"/>
        <v>0</v>
      </c>
      <c r="Q413" s="409"/>
      <c r="R413" s="321"/>
      <c r="S413" s="319" t="s">
        <v>707</v>
      </c>
    </row>
    <row r="414" spans="1:19" ht="11.25" hidden="1" customHeight="1" x14ac:dyDescent="0.35">
      <c r="A414" s="331" t="str">
        <f>"TL10-02"&amp;TEXT(IFRSAlloc10,"-00")</f>
        <v>TL10-02-00</v>
      </c>
      <c r="B414" s="395"/>
      <c r="C414" s="418" t="str">
        <f>$C$350</f>
        <v>Depreciation</v>
      </c>
      <c r="D414" s="1173"/>
      <c r="E414" s="317" t="s">
        <v>771</v>
      </c>
      <c r="F414" s="994"/>
      <c r="G414" s="979">
        <f ca="1">IF(SUM(OFFSET($E376,0,$G$8):OFFSET($E376,0,G$8))&lt;&gt;0,(OFFSET($E377,0,G$8)/SUM(OFFSET($E376,0,$G$8):OFFSET($E376,0,G$8)))*SUM($G413:G413),0)</f>
        <v>0</v>
      </c>
      <c r="H414" s="979">
        <f ca="1">IF(SUM(OFFSET($E376,0,$G$8):OFFSET($E376,0,H$8))&lt;&gt;0,(OFFSET($E377,0,H$8)/SUM(OFFSET($E376,0,$G$8):OFFSET($E376,0,H$8)))*SUM($G413:H413),0)</f>
        <v>0</v>
      </c>
      <c r="I414" s="979">
        <f ca="1">IF(SUM(OFFSET($E376,0,$G$8):OFFSET($E376,0,I$8))&lt;&gt;0,(OFFSET($E377,0,I$8)/SUM(OFFSET($E376,0,$G$8):OFFSET($E376,0,I$8)))*SUM($G413:I413),0)</f>
        <v>0</v>
      </c>
      <c r="J414" s="979">
        <f ca="1">IF(SUM(OFFSET($E376,0,$G$8):OFFSET($E376,0,J$8))&lt;&gt;0,(OFFSET($E377,0,J$8)/SUM(OFFSET($E376,0,$G$8):OFFSET($E376,0,J$8)))*SUM($G413:J413),0)</f>
        <v>0</v>
      </c>
      <c r="K414" s="979">
        <f ca="1">IF(SUM(OFFSET($E376,0,$G$8):OFFSET($E376,0,K$8))&lt;&gt;0,(OFFSET($E377,0,K$8)/SUM(OFFSET($E376,0,$G$8):OFFSET($E376,0,K$8)))*SUM($G413:K413),0)</f>
        <v>0</v>
      </c>
      <c r="L414" s="979">
        <f ca="1">IF(SUM(OFFSET($E376,0,$G$8):OFFSET($E376,0,L$8))&lt;&gt;0,(OFFSET($E377,0,L$8)/SUM(OFFSET($E376,0,$G$8):OFFSET($E376,0,L$8)))*SUM($G413:L413),0)</f>
        <v>0</v>
      </c>
      <c r="M414" s="979">
        <f ca="1">IF(SUM(OFFSET($E376,0,$G$8):OFFSET($E376,0,M$8))&lt;&gt;0,(OFFSET($E377,0,M$8)/SUM(OFFSET($E376,0,$G$8):OFFSET($E376,0,M$8)))*SUM($G413:M413),0)</f>
        <v>0</v>
      </c>
      <c r="N414" s="979">
        <f ca="1">IF(SUM(OFFSET($E376,0,$G$8):OFFSET($E376,0,N$8))&lt;&gt;0,(OFFSET($E377,0,N$8)/SUM(OFFSET($E376,0,$G$8):OFFSET($E376,0,N$8)))*SUM($G413:N413),0)</f>
        <v>0</v>
      </c>
      <c r="O414" s="979">
        <f ca="1">IF(SUM(OFFSET($E376,0,$G$8):OFFSET($E376,0,O$8))&lt;&gt;0,(OFFSET($E377,0,O$8)/SUM(OFFSET($E376,0,$G$8):OFFSET($E376,0,O$8)))*SUM($G413:O413),0)</f>
        <v>0</v>
      </c>
      <c r="P414" s="979">
        <f ca="1">IF(SUM(OFFSET($E376,0,$G$8):OFFSET($E376,0,P$8))&lt;&gt;0,(OFFSET($E377,0,P$8)/SUM(OFFSET($E376,0,$G$8):OFFSET($E376,0,P$8)))*SUM($G413:P413),0)</f>
        <v>0</v>
      </c>
      <c r="Q414" s="409"/>
      <c r="R414" s="321"/>
      <c r="S414" s="319" t="s">
        <v>707</v>
      </c>
    </row>
    <row r="415" spans="1:19" ht="11.25" hidden="1" customHeight="1" x14ac:dyDescent="0.35">
      <c r="A415" s="331" t="str">
        <f>"TL10-03"&amp;TEXT(IFRSAlloc10,"-00")</f>
        <v>TL10-03-00</v>
      </c>
      <c r="B415" s="395"/>
      <c r="C415" s="416" t="str">
        <f>$C$351</f>
        <v>Balance</v>
      </c>
      <c r="D415" s="1178"/>
      <c r="E415" s="417" t="s">
        <v>772</v>
      </c>
      <c r="F415" s="1001"/>
      <c r="G415" s="1002">
        <f t="shared" ref="G415:L415" ca="1" si="170">G413+G414+OFFSET(G415,0,-1)</f>
        <v>0</v>
      </c>
      <c r="H415" s="1002">
        <f t="shared" ca="1" si="170"/>
        <v>0</v>
      </c>
      <c r="I415" s="1002">
        <f t="shared" ca="1" si="170"/>
        <v>0</v>
      </c>
      <c r="J415" s="1002">
        <f t="shared" ca="1" si="170"/>
        <v>0</v>
      </c>
      <c r="K415" s="1002">
        <f t="shared" ca="1" si="170"/>
        <v>0</v>
      </c>
      <c r="L415" s="1002">
        <f t="shared" ca="1" si="170"/>
        <v>0</v>
      </c>
      <c r="M415" s="1002">
        <f t="shared" ref="M415:N415" ca="1" si="171">M413+M414+OFFSET(M415,0,-1)</f>
        <v>0</v>
      </c>
      <c r="N415" s="1002">
        <f t="shared" ca="1" si="171"/>
        <v>0</v>
      </c>
      <c r="O415" s="1002">
        <f t="shared" ref="O415:P415" ca="1" si="172">O413+O414+OFFSET(O415,0,-1)</f>
        <v>0</v>
      </c>
      <c r="P415" s="1002">
        <f t="shared" ca="1" si="172"/>
        <v>0</v>
      </c>
      <c r="Q415" s="409"/>
      <c r="R415" s="321"/>
      <c r="S415" s="319" t="s">
        <v>707</v>
      </c>
    </row>
    <row r="416" spans="1:19" ht="11.25" hidden="1" customHeight="1" x14ac:dyDescent="0.35">
      <c r="A416" s="331" t="str">
        <f>"TL11-01"&amp;TEXT(IFRSAlloc11,"-00")</f>
        <v>TL11-01-00</v>
      </c>
      <c r="B416" s="395"/>
      <c r="C416" s="412" t="str">
        <f>$C$349&amp;IF(IFRSAlloc11&gt;0,INDEX(IFRSallocDD,IFRSAlloc11),"")</f>
        <v xml:space="preserve">Amount allocated on </v>
      </c>
      <c r="D416" s="1176"/>
      <c r="E416" s="413" t="s">
        <v>773</v>
      </c>
      <c r="F416" s="997"/>
      <c r="G416" s="1003">
        <f t="shared" ref="G416:L416" ca="1" si="173">IF(OFFSET($E$344,0,G$8)&lt;&gt;0,(OFFSET($E379,0,G$8)/OFFSET($E$344,0,G$8))*OFFSET($E$345,0,G$8),0)</f>
        <v>0</v>
      </c>
      <c r="H416" s="1003">
        <f t="shared" ca="1" si="173"/>
        <v>0</v>
      </c>
      <c r="I416" s="1003">
        <f t="shared" ca="1" si="173"/>
        <v>0</v>
      </c>
      <c r="J416" s="1003">
        <f t="shared" ca="1" si="173"/>
        <v>0</v>
      </c>
      <c r="K416" s="1003">
        <f t="shared" ca="1" si="173"/>
        <v>0</v>
      </c>
      <c r="L416" s="1003">
        <f t="shared" ca="1" si="173"/>
        <v>0</v>
      </c>
      <c r="M416" s="1003">
        <f t="shared" ref="M416:N416" ca="1" si="174">IF(OFFSET($E$344,0,M$8)&lt;&gt;0,(OFFSET($E379,0,M$8)/OFFSET($E$344,0,M$8))*OFFSET($E$345,0,M$8),0)</f>
        <v>0</v>
      </c>
      <c r="N416" s="1003">
        <f t="shared" ca="1" si="174"/>
        <v>0</v>
      </c>
      <c r="O416" s="1003">
        <f t="shared" ref="O416:P416" ca="1" si="175">IF(OFFSET($E$344,0,O$8)&lt;&gt;0,(OFFSET($E379,0,O$8)/OFFSET($E$344,0,O$8))*OFFSET($E$345,0,O$8),0)</f>
        <v>0</v>
      </c>
      <c r="P416" s="1003">
        <f t="shared" ca="1" si="175"/>
        <v>0</v>
      </c>
      <c r="Q416" s="409"/>
      <c r="R416" s="321"/>
      <c r="S416" s="319" t="s">
        <v>707</v>
      </c>
    </row>
    <row r="417" spans="1:19" ht="11.25" hidden="1" customHeight="1" x14ac:dyDescent="0.35">
      <c r="A417" s="331" t="str">
        <f>"TL11-02"&amp;TEXT(IFRSAlloc11,"-00")</f>
        <v>TL11-02-00</v>
      </c>
      <c r="B417" s="395"/>
      <c r="C417" s="418" t="str">
        <f>$C$350</f>
        <v>Depreciation</v>
      </c>
      <c r="D417" s="1173"/>
      <c r="E417" s="317" t="s">
        <v>774</v>
      </c>
      <c r="F417" s="994"/>
      <c r="G417" s="979">
        <f ca="1">IF(SUM(OFFSET($E379,0,$G$8):OFFSET($E379,0,G$8))&lt;&gt;0,(OFFSET($E380,0,G$8)/SUM(OFFSET($E379,0,$G$8):OFFSET($E379,0,G$8)))*SUM($G416:G416),0)</f>
        <v>0</v>
      </c>
      <c r="H417" s="979">
        <f ca="1">IF(SUM(OFFSET($E379,0,$G$8):OFFSET($E379,0,H$8))&lt;&gt;0,(OFFSET($E380,0,H$8)/SUM(OFFSET($E379,0,$G$8):OFFSET($E379,0,H$8)))*SUM($G416:H416),0)</f>
        <v>0</v>
      </c>
      <c r="I417" s="979">
        <f ca="1">IF(SUM(OFFSET($E379,0,$G$8):OFFSET($E379,0,I$8))&lt;&gt;0,(OFFSET($E380,0,I$8)/SUM(OFFSET($E379,0,$G$8):OFFSET($E379,0,I$8)))*SUM($G416:I416),0)</f>
        <v>0</v>
      </c>
      <c r="J417" s="979">
        <f ca="1">IF(SUM(OFFSET($E379,0,$G$8):OFFSET($E379,0,J$8))&lt;&gt;0,(OFFSET($E380,0,J$8)/SUM(OFFSET($E379,0,$G$8):OFFSET($E379,0,J$8)))*SUM($G416:J416),0)</f>
        <v>0</v>
      </c>
      <c r="K417" s="979">
        <f ca="1">IF(SUM(OFFSET($E379,0,$G$8):OFFSET($E379,0,K$8))&lt;&gt;0,(OFFSET($E380,0,K$8)/SUM(OFFSET($E379,0,$G$8):OFFSET($E379,0,K$8)))*SUM($G416:K416),0)</f>
        <v>0</v>
      </c>
      <c r="L417" s="979">
        <f ca="1">IF(SUM(OFFSET($E379,0,$G$8):OFFSET($E379,0,L$8))&lt;&gt;0,(OFFSET($E380,0,L$8)/SUM(OFFSET($E379,0,$G$8):OFFSET($E379,0,L$8)))*SUM($G416:L416),0)</f>
        <v>0</v>
      </c>
      <c r="M417" s="979">
        <f ca="1">IF(SUM(OFFSET($E379,0,$G$8):OFFSET($E379,0,M$8))&lt;&gt;0,(OFFSET($E380,0,M$8)/SUM(OFFSET($E379,0,$G$8):OFFSET($E379,0,M$8)))*SUM($G416:M416),0)</f>
        <v>0</v>
      </c>
      <c r="N417" s="979">
        <f ca="1">IF(SUM(OFFSET($E379,0,$G$8):OFFSET($E379,0,N$8))&lt;&gt;0,(OFFSET($E380,0,N$8)/SUM(OFFSET($E379,0,$G$8):OFFSET($E379,0,N$8)))*SUM($G416:N416),0)</f>
        <v>0</v>
      </c>
      <c r="O417" s="979">
        <f ca="1">IF(SUM(OFFSET($E379,0,$G$8):OFFSET($E379,0,O$8))&lt;&gt;0,(OFFSET($E380,0,O$8)/SUM(OFFSET($E379,0,$G$8):OFFSET($E379,0,O$8)))*SUM($G416:O416),0)</f>
        <v>0</v>
      </c>
      <c r="P417" s="979">
        <f ca="1">IF(SUM(OFFSET($E379,0,$G$8):OFFSET($E379,0,P$8))&lt;&gt;0,(OFFSET($E380,0,P$8)/SUM(OFFSET($E379,0,$G$8):OFFSET($E379,0,P$8)))*SUM($G416:P416),0)</f>
        <v>0</v>
      </c>
      <c r="Q417" s="409"/>
      <c r="R417" s="321"/>
      <c r="S417" s="319" t="s">
        <v>707</v>
      </c>
    </row>
    <row r="418" spans="1:19" ht="11.25" hidden="1" customHeight="1" x14ac:dyDescent="0.35">
      <c r="A418" s="331" t="str">
        <f>"TL11-03"&amp;TEXT(IFRSAlloc11,"-00")</f>
        <v>TL11-03-00</v>
      </c>
      <c r="B418" s="395"/>
      <c r="C418" s="416" t="str">
        <f>$C$351</f>
        <v>Balance</v>
      </c>
      <c r="D418" s="1178"/>
      <c r="E418" s="417" t="s">
        <v>775</v>
      </c>
      <c r="F418" s="1001"/>
      <c r="G418" s="1002">
        <f t="shared" ref="G418:L418" ca="1" si="176">G416+G417+OFFSET(G418,0,-1)</f>
        <v>0</v>
      </c>
      <c r="H418" s="1002">
        <f t="shared" ca="1" si="176"/>
        <v>0</v>
      </c>
      <c r="I418" s="1002">
        <f t="shared" ca="1" si="176"/>
        <v>0</v>
      </c>
      <c r="J418" s="1002">
        <f t="shared" ca="1" si="176"/>
        <v>0</v>
      </c>
      <c r="K418" s="1002">
        <f t="shared" ca="1" si="176"/>
        <v>0</v>
      </c>
      <c r="L418" s="1002">
        <f t="shared" ca="1" si="176"/>
        <v>0</v>
      </c>
      <c r="M418" s="1002">
        <f t="shared" ref="M418:N418" ca="1" si="177">M416+M417+OFFSET(M418,0,-1)</f>
        <v>0</v>
      </c>
      <c r="N418" s="1002">
        <f t="shared" ca="1" si="177"/>
        <v>0</v>
      </c>
      <c r="O418" s="1002">
        <f t="shared" ref="O418:P418" ca="1" si="178">O416+O417+OFFSET(O418,0,-1)</f>
        <v>0</v>
      </c>
      <c r="P418" s="1002">
        <f t="shared" ca="1" si="178"/>
        <v>0</v>
      </c>
      <c r="Q418" s="409"/>
      <c r="R418" s="321"/>
      <c r="S418" s="319" t="s">
        <v>707</v>
      </c>
    </row>
    <row r="419" spans="1:19" ht="11.25" hidden="1" customHeight="1" x14ac:dyDescent="0.35">
      <c r="A419" s="331" t="str">
        <f>"TL12-01"&amp;TEXT(IFRSAlloc12,"-00")</f>
        <v>TL12-01-00</v>
      </c>
      <c r="B419" s="395"/>
      <c r="C419" s="412" t="str">
        <f>$C$349&amp;IF(IFRSAlloc12&gt;0,INDEX(IFRSallocDD,IFRSAlloc12),"")</f>
        <v xml:space="preserve">Amount allocated on </v>
      </c>
      <c r="D419" s="1176"/>
      <c r="E419" s="413" t="s">
        <v>776</v>
      </c>
      <c r="F419" s="997"/>
      <c r="G419" s="1003">
        <f t="shared" ref="G419:L419" ca="1" si="179">IF(OFFSET($E$344,0,G$8)&lt;&gt;0,(OFFSET($E382,0,G$8)/OFFSET($E$344,0,G$8))*OFFSET($E$345,0,G$8),0)</f>
        <v>0</v>
      </c>
      <c r="H419" s="1003">
        <f t="shared" ca="1" si="179"/>
        <v>0</v>
      </c>
      <c r="I419" s="1003">
        <f t="shared" ca="1" si="179"/>
        <v>0</v>
      </c>
      <c r="J419" s="1003">
        <f t="shared" ca="1" si="179"/>
        <v>0</v>
      </c>
      <c r="K419" s="1003">
        <f t="shared" ca="1" si="179"/>
        <v>0</v>
      </c>
      <c r="L419" s="1003">
        <f t="shared" ca="1" si="179"/>
        <v>0</v>
      </c>
      <c r="M419" s="1003">
        <f t="shared" ref="M419:N419" ca="1" si="180">IF(OFFSET($E$344,0,M$8)&lt;&gt;0,(OFFSET($E382,0,M$8)/OFFSET($E$344,0,M$8))*OFFSET($E$345,0,M$8),0)</f>
        <v>0</v>
      </c>
      <c r="N419" s="1003">
        <f t="shared" ca="1" si="180"/>
        <v>0</v>
      </c>
      <c r="O419" s="1003">
        <f t="shared" ref="O419:P419" ca="1" si="181">IF(OFFSET($E$344,0,O$8)&lt;&gt;0,(OFFSET($E382,0,O$8)/OFFSET($E$344,0,O$8))*OFFSET($E$345,0,O$8),0)</f>
        <v>0</v>
      </c>
      <c r="P419" s="1003">
        <f t="shared" ca="1" si="181"/>
        <v>0</v>
      </c>
      <c r="Q419" s="409"/>
      <c r="R419" s="321"/>
      <c r="S419" s="319" t="s">
        <v>707</v>
      </c>
    </row>
    <row r="420" spans="1:19" ht="11.25" hidden="1" customHeight="1" x14ac:dyDescent="0.35">
      <c r="A420" s="331" t="str">
        <f>"TL12-02"&amp;TEXT(IFRSAlloc12,"-00")</f>
        <v>TL12-02-00</v>
      </c>
      <c r="B420" s="395"/>
      <c r="C420" s="418" t="str">
        <f>$C$350</f>
        <v>Depreciation</v>
      </c>
      <c r="D420" s="1173"/>
      <c r="E420" s="317" t="s">
        <v>777</v>
      </c>
      <c r="F420" s="994"/>
      <c r="G420" s="979">
        <f ca="1">IF(SUM(OFFSET($E382,0,$G$8):OFFSET($E382,0,G$8))&lt;&gt;0,(OFFSET($E383,0,G$8)/SUM(OFFSET($E382,0,$G$8):OFFSET($E382,0,G$8)))*SUM($G419:G419),0)</f>
        <v>0</v>
      </c>
      <c r="H420" s="979">
        <f ca="1">IF(SUM(OFFSET($E382,0,$G$8):OFFSET($E382,0,H$8))&lt;&gt;0,(OFFSET($E383,0,H$8)/SUM(OFFSET($E382,0,$G$8):OFFSET($E382,0,H$8)))*SUM($G419:H419),0)</f>
        <v>0</v>
      </c>
      <c r="I420" s="979">
        <f ca="1">IF(SUM(OFFSET($E382,0,$G$8):OFFSET($E382,0,I$8))&lt;&gt;0,(OFFSET($E383,0,I$8)/SUM(OFFSET($E382,0,$G$8):OFFSET($E382,0,I$8)))*SUM($G419:I419),0)</f>
        <v>0</v>
      </c>
      <c r="J420" s="979">
        <f ca="1">IF(SUM(OFFSET($E382,0,$G$8):OFFSET($E382,0,J$8))&lt;&gt;0,(OFFSET($E383,0,J$8)/SUM(OFFSET($E382,0,$G$8):OFFSET($E382,0,J$8)))*SUM($G419:J419),0)</f>
        <v>0</v>
      </c>
      <c r="K420" s="979">
        <f ca="1">IF(SUM(OFFSET($E382,0,$G$8):OFFSET($E382,0,K$8))&lt;&gt;0,(OFFSET($E383,0,K$8)/SUM(OFFSET($E382,0,$G$8):OFFSET($E382,0,K$8)))*SUM($G419:K419),0)</f>
        <v>0</v>
      </c>
      <c r="L420" s="979">
        <f ca="1">IF(SUM(OFFSET($E382,0,$G$8):OFFSET($E382,0,L$8))&lt;&gt;0,(OFFSET($E383,0,L$8)/SUM(OFFSET($E382,0,$G$8):OFFSET($E382,0,L$8)))*SUM($G419:L419),0)</f>
        <v>0</v>
      </c>
      <c r="M420" s="979">
        <f ca="1">IF(SUM(OFFSET($E382,0,$G$8):OFFSET($E382,0,M$8))&lt;&gt;0,(OFFSET($E383,0,M$8)/SUM(OFFSET($E382,0,$G$8):OFFSET($E382,0,M$8)))*SUM($G419:M419),0)</f>
        <v>0</v>
      </c>
      <c r="N420" s="979">
        <f ca="1">IF(SUM(OFFSET($E382,0,$G$8):OFFSET($E382,0,N$8))&lt;&gt;0,(OFFSET($E383,0,N$8)/SUM(OFFSET($E382,0,$G$8):OFFSET($E382,0,N$8)))*SUM($G419:N419),0)</f>
        <v>0</v>
      </c>
      <c r="O420" s="979">
        <f ca="1">IF(SUM(OFFSET($E382,0,$G$8):OFFSET($E382,0,O$8))&lt;&gt;0,(OFFSET($E383,0,O$8)/SUM(OFFSET($E382,0,$G$8):OFFSET($E382,0,O$8)))*SUM($G419:O419),0)</f>
        <v>0</v>
      </c>
      <c r="P420" s="979">
        <f ca="1">IF(SUM(OFFSET($E382,0,$G$8):OFFSET($E382,0,P$8))&lt;&gt;0,(OFFSET($E383,0,P$8)/SUM(OFFSET($E382,0,$G$8):OFFSET($E382,0,P$8)))*SUM($G419:P419),0)</f>
        <v>0</v>
      </c>
      <c r="Q420" s="409"/>
      <c r="R420" s="321"/>
      <c r="S420" s="319" t="s">
        <v>707</v>
      </c>
    </row>
    <row r="421" spans="1:19" ht="11.25" hidden="1" customHeight="1" x14ac:dyDescent="0.35">
      <c r="A421" s="331" t="str">
        <f>"TL12-03"&amp;TEXT(IFRSAlloc12,"-00")</f>
        <v>TL12-03-00</v>
      </c>
      <c r="B421" s="395"/>
      <c r="C421" s="416" t="str">
        <f>$C$351</f>
        <v>Balance</v>
      </c>
      <c r="D421" s="1178"/>
      <c r="E421" s="417" t="s">
        <v>778</v>
      </c>
      <c r="F421" s="1001"/>
      <c r="G421" s="1002">
        <f t="shared" ref="G421:L421" ca="1" si="182">G419+G420+OFFSET(G421,0,-1)</f>
        <v>0</v>
      </c>
      <c r="H421" s="1002">
        <f t="shared" ca="1" si="182"/>
        <v>0</v>
      </c>
      <c r="I421" s="1002">
        <f t="shared" ca="1" si="182"/>
        <v>0</v>
      </c>
      <c r="J421" s="1002">
        <f t="shared" ca="1" si="182"/>
        <v>0</v>
      </c>
      <c r="K421" s="1002">
        <f t="shared" ca="1" si="182"/>
        <v>0</v>
      </c>
      <c r="L421" s="1002">
        <f t="shared" ca="1" si="182"/>
        <v>0</v>
      </c>
      <c r="M421" s="1002">
        <f t="shared" ref="M421:N421" ca="1" si="183">M419+M420+OFFSET(M421,0,-1)</f>
        <v>0</v>
      </c>
      <c r="N421" s="1002">
        <f t="shared" ca="1" si="183"/>
        <v>0</v>
      </c>
      <c r="O421" s="1002">
        <f t="shared" ref="O421:P421" ca="1" si="184">O419+O420+OFFSET(O421,0,-1)</f>
        <v>0</v>
      </c>
      <c r="P421" s="1002">
        <f t="shared" ca="1" si="184"/>
        <v>0</v>
      </c>
      <c r="Q421" s="409"/>
      <c r="R421" s="321"/>
      <c r="S421" s="319" t="s">
        <v>707</v>
      </c>
    </row>
    <row r="422" spans="1:19" ht="11.25" hidden="1" customHeight="1" x14ac:dyDescent="0.35">
      <c r="A422" s="331"/>
      <c r="B422" s="395"/>
      <c r="C422" s="419" t="s">
        <v>779</v>
      </c>
      <c r="D422" s="1179"/>
      <c r="E422" s="420" t="s">
        <v>780</v>
      </c>
      <c r="F422" s="1001"/>
      <c r="G422" s="1004">
        <f t="shared" ref="G422:L422" ca="1" si="185">G347+G385</f>
        <v>0</v>
      </c>
      <c r="H422" s="1004">
        <f t="shared" ca="1" si="185"/>
        <v>0</v>
      </c>
      <c r="I422" s="1004">
        <f t="shared" ca="1" si="185"/>
        <v>0</v>
      </c>
      <c r="J422" s="1004">
        <f t="shared" ca="1" si="185"/>
        <v>0</v>
      </c>
      <c r="K422" s="1004">
        <f t="shared" ca="1" si="185"/>
        <v>0</v>
      </c>
      <c r="L422" s="1004">
        <f t="shared" ca="1" si="185"/>
        <v>0</v>
      </c>
      <c r="M422" s="1004">
        <f t="shared" ref="M422:N422" ca="1" si="186">M347+M385</f>
        <v>0</v>
      </c>
      <c r="N422" s="1004">
        <f t="shared" ca="1" si="186"/>
        <v>0</v>
      </c>
      <c r="O422" s="1004">
        <f t="shared" ref="O422:P422" ca="1" si="187">O347+O385</f>
        <v>0</v>
      </c>
      <c r="P422" s="1004">
        <f t="shared" ca="1" si="187"/>
        <v>0</v>
      </c>
      <c r="Q422" s="409"/>
      <c r="R422" s="321"/>
      <c r="S422" s="319" t="s">
        <v>663</v>
      </c>
    </row>
    <row r="423" spans="1:19" ht="11.25" hidden="1" customHeight="1" x14ac:dyDescent="0.35">
      <c r="A423" s="401"/>
      <c r="B423" s="405" t="s">
        <v>781</v>
      </c>
      <c r="C423" s="394"/>
      <c r="D423" s="1169"/>
      <c r="E423" s="380" t="s">
        <v>782</v>
      </c>
      <c r="F423" s="985"/>
      <c r="G423" s="977">
        <f t="shared" ref="G423:L423" ca="1" si="188">IF(G344&lt;&gt;0,IF(GWtype=2,ROUND(G344-G347,0),G344),0)</f>
        <v>0</v>
      </c>
      <c r="H423" s="977">
        <f t="shared" ca="1" si="188"/>
        <v>0</v>
      </c>
      <c r="I423" s="977">
        <f t="shared" ca="1" si="188"/>
        <v>0</v>
      </c>
      <c r="J423" s="977">
        <f t="shared" ca="1" si="188"/>
        <v>0</v>
      </c>
      <c r="K423" s="977">
        <f t="shared" ca="1" si="188"/>
        <v>0</v>
      </c>
      <c r="L423" s="977">
        <f t="shared" ca="1" si="188"/>
        <v>0</v>
      </c>
      <c r="M423" s="977">
        <f t="shared" ref="M423:N423" ca="1" si="189">IF(M344&lt;&gt;0,IF(GWtype=2,ROUND(M344-M347,0),M344),0)</f>
        <v>0</v>
      </c>
      <c r="N423" s="977">
        <f t="shared" ca="1" si="189"/>
        <v>0</v>
      </c>
      <c r="O423" s="977">
        <f t="shared" ref="O423:P423" ca="1" si="190">IF(O344&lt;&gt;0,IF(GWtype=2,ROUND(O344-O347,0),O344),0)</f>
        <v>0</v>
      </c>
      <c r="P423" s="977">
        <f t="shared" ca="1" si="190"/>
        <v>0</v>
      </c>
      <c r="Q423" s="408"/>
      <c r="R423" s="321"/>
      <c r="S423" s="319" t="s">
        <v>663</v>
      </c>
    </row>
    <row r="424" spans="1:19" ht="11.25" hidden="1" customHeight="1" x14ac:dyDescent="0.35">
      <c r="A424" s="401"/>
      <c r="B424" s="395" t="s">
        <v>783</v>
      </c>
      <c r="C424" s="396"/>
      <c r="D424" s="1173"/>
      <c r="E424" s="324" t="s">
        <v>784</v>
      </c>
      <c r="F424" s="994"/>
      <c r="G424" s="979">
        <f t="shared" ref="G424:L424" ca="1" si="191">IF(AND(G423&lt;0,NOT(BadwillOK)),0,G423)+OFFSET(G424,0,-1)</f>
        <v>0</v>
      </c>
      <c r="H424" s="979">
        <f t="shared" ca="1" si="191"/>
        <v>0</v>
      </c>
      <c r="I424" s="979">
        <f t="shared" ca="1" si="191"/>
        <v>0</v>
      </c>
      <c r="J424" s="979">
        <f t="shared" ca="1" si="191"/>
        <v>0</v>
      </c>
      <c r="K424" s="979">
        <f t="shared" ca="1" si="191"/>
        <v>0</v>
      </c>
      <c r="L424" s="979">
        <f t="shared" ca="1" si="191"/>
        <v>0</v>
      </c>
      <c r="M424" s="979">
        <f t="shared" ref="M424:N424" ca="1" si="192">IF(AND(M423&lt;0,NOT(BadwillOK)),0,M423)+OFFSET(M424,0,-1)</f>
        <v>0</v>
      </c>
      <c r="N424" s="979">
        <f t="shared" ca="1" si="192"/>
        <v>0</v>
      </c>
      <c r="O424" s="979">
        <f t="shared" ref="O424:P424" ca="1" si="193">IF(AND(O423&lt;0,NOT(BadwillOK)),0,O423)+OFFSET(O424,0,-1)</f>
        <v>0</v>
      </c>
      <c r="P424" s="979">
        <f t="shared" ca="1" si="193"/>
        <v>0</v>
      </c>
      <c r="Q424" s="409"/>
      <c r="R424" s="321"/>
      <c r="S424" s="319" t="s">
        <v>785</v>
      </c>
    </row>
    <row r="425" spans="1:19" ht="12" hidden="1" customHeight="1" x14ac:dyDescent="0.35">
      <c r="A425" s="401"/>
      <c r="B425" s="397" t="s">
        <v>647</v>
      </c>
      <c r="C425" s="398"/>
      <c r="D425" s="1170"/>
      <c r="E425" s="385" t="s">
        <v>786</v>
      </c>
      <c r="F425" s="986"/>
      <c r="G425" s="981"/>
      <c r="H425" s="981">
        <f ca="1">IF(OR(H$1=FinMonth,H$16=LastPeriod),IF(GWTime&gt;0,IF(ABS(OFFSET(H426,0,-1)+H344)&gt;0.01,(-H424/GWTime)*(MIN(GWTime*12,SUM($G$17:H$17))-IF(SUM($G425:OFFSET(H425,0,-1))=0,0,SUM($G$17:OFFSET(H$17,0,H$1022))))/12,0),0),0)</f>
        <v>0</v>
      </c>
      <c r="I425" s="981">
        <f ca="1">IF(OR(I$1=FinMonth,I$16=LastPeriod),IF(GWTime&gt;0,IF(ABS(OFFSET(I426,0,-1)+I344)&gt;0.01,(-I424/GWTime)*(MIN(GWTime*12,SUM($G$17:I$17))-IF(SUM($G425:OFFSET(I425,0,-1))=0,0,SUM($G$17:OFFSET(I$17,0,I$1022))))/12,0),0),0)</f>
        <v>0</v>
      </c>
      <c r="J425" s="981">
        <f ca="1">IF(OR(J$1=FinMonth,J$16=LastPeriod),IF(GWTime&gt;0,IF(ABS(OFFSET(J426,0,-1)+J344)&gt;0.01,(-J424/GWTime)*(MIN(GWTime*12,SUM($G$17:J$17))-IF(SUM($G425:OFFSET(J425,0,-1))=0,0,SUM($G$17:OFFSET(J$17,0,J$1022))))/12,0),0),0)</f>
        <v>0</v>
      </c>
      <c r="K425" s="981">
        <f ca="1">IF(OR(K$1=FinMonth,K$16=LastPeriod),IF(GWTime&gt;0,IF(ABS(OFFSET(K426,0,-1)+K344)&gt;0.01,(-K424/GWTime)*(MIN(GWTime*12,SUM($G$17:K$17))-IF(SUM($G425:OFFSET(K425,0,-1))=0,0,SUM($G$17:OFFSET(K$17,0,K$1022))))/12,0),0),0)</f>
        <v>0</v>
      </c>
      <c r="L425" s="981">
        <f ca="1">IF(OR(L$1=FinMonth,L$16=LastPeriod),IF(GWTime&gt;0,IF(ABS(OFFSET(L426,0,-1)+L344)&gt;0.01,(-L424/GWTime)*(MIN(GWTime*12,SUM($G$17:L$17))-IF(SUM($G425:OFFSET(L425,0,-1))=0,0,SUM($G$17:OFFSET(L$17,0,L$1022))))/12,0),0),0)</f>
        <v>0</v>
      </c>
      <c r="M425" s="981">
        <f ca="1">IF(OR(M$1=FinMonth,M$16=LastPeriod),IF(GWTime&gt;0,IF(ABS(OFFSET(M426,0,-1)+M344)&gt;0.01,(-M424/GWTime)*(MIN(GWTime*12,SUM($G$17:M$17))-IF(SUM($G425:OFFSET(M425,0,-1))=0,0,SUM($G$17:OFFSET(M$17,0,M$1022))))/12,0),0),0)</f>
        <v>0</v>
      </c>
      <c r="N425" s="981">
        <f ca="1">IF(OR(N$1=FinMonth,N$16=LastPeriod),IF(GWTime&gt;0,IF(ABS(OFFSET(N426,0,-1)+N344)&gt;0.01,(-N424/GWTime)*(MIN(GWTime*12,SUM($G$17:N$17))-IF(SUM($G425:OFFSET(N425,0,-1))=0,0,SUM($G$17:OFFSET(N$17,0,N$1022))))/12,0),0),0)</f>
        <v>0</v>
      </c>
      <c r="O425" s="981">
        <f ca="1">IF(OR(O$1=FinMonth,O$16=LastPeriod),IF(GWTime&gt;0,IF(ABS(OFFSET(O426,0,-1)+O344)&gt;0.01,(-O424/GWTime)*(MIN(GWTime*12,SUM($G$17:O$17))-IF(SUM($G425:OFFSET(O425,0,-1))=0,0,SUM($G$17:OFFSET(O$17,0,O$1022))))/12,0),0),0)</f>
        <v>0</v>
      </c>
      <c r="P425" s="981">
        <f ca="1">IF(OR(P$1=FinMonth,P$16=LastPeriod),IF(GWTime&gt;0,IF(ABS(OFFSET(P426,0,-1)+P344)&gt;0.01,(-P424/GWTime)*(MIN(GWTime*12,SUM($G$17:P$17))-IF(SUM($G425:OFFSET(P425,0,-1))=0,0,SUM($G$17:OFFSET(P$17,0,P$1022))))/12,0),0),0)</f>
        <v>0</v>
      </c>
      <c r="Q425" s="975"/>
      <c r="R425" s="321"/>
      <c r="S425" s="319" t="s">
        <v>679</v>
      </c>
    </row>
    <row r="426" spans="1:19" ht="12" hidden="1" customHeight="1" x14ac:dyDescent="0.35">
      <c r="A426" s="401"/>
      <c r="B426" s="399" t="s">
        <v>781</v>
      </c>
      <c r="C426" s="400"/>
      <c r="D426" s="1174"/>
      <c r="E426" s="337" t="s">
        <v>787</v>
      </c>
      <c r="F426" s="995"/>
      <c r="G426" s="983">
        <f ca="1">G423</f>
        <v>0</v>
      </c>
      <c r="H426" s="983">
        <f t="shared" ref="H426:P426" ca="1" si="194">OFFSET(H426,0,-1)+H423+H425</f>
        <v>0</v>
      </c>
      <c r="I426" s="983">
        <f t="shared" ca="1" si="194"/>
        <v>0</v>
      </c>
      <c r="J426" s="983">
        <f t="shared" ca="1" si="194"/>
        <v>0</v>
      </c>
      <c r="K426" s="983">
        <f t="shared" ca="1" si="194"/>
        <v>0</v>
      </c>
      <c r="L426" s="983">
        <f t="shared" ca="1" si="194"/>
        <v>0</v>
      </c>
      <c r="M426" s="983">
        <f t="shared" ca="1" si="194"/>
        <v>0</v>
      </c>
      <c r="N426" s="983">
        <f t="shared" ca="1" si="194"/>
        <v>0</v>
      </c>
      <c r="O426" s="983">
        <f t="shared" ca="1" si="194"/>
        <v>0</v>
      </c>
      <c r="P426" s="983">
        <f t="shared" ca="1" si="194"/>
        <v>0</v>
      </c>
      <c r="Q426" s="421"/>
      <c r="R426" s="321"/>
      <c r="S426" s="319" t="s">
        <v>658</v>
      </c>
    </row>
    <row r="427" spans="1:19" ht="12" hidden="1" customHeight="1" x14ac:dyDescent="0.35">
      <c r="A427" s="401"/>
      <c r="B427" s="395" t="s">
        <v>788</v>
      </c>
      <c r="C427" s="396"/>
      <c r="D427" s="1173"/>
      <c r="E427" s="324" t="s">
        <v>789</v>
      </c>
      <c r="F427" s="994"/>
      <c r="G427" s="979">
        <f t="shared" ref="G427:P427" ca="1" si="195">G$830</f>
        <v>0</v>
      </c>
      <c r="H427" s="979">
        <f t="shared" ca="1" si="195"/>
        <v>0</v>
      </c>
      <c r="I427" s="979">
        <f t="shared" ca="1" si="195"/>
        <v>0</v>
      </c>
      <c r="J427" s="979">
        <f t="shared" ca="1" si="195"/>
        <v>0</v>
      </c>
      <c r="K427" s="979">
        <f t="shared" ca="1" si="195"/>
        <v>0</v>
      </c>
      <c r="L427" s="979">
        <f t="shared" ca="1" si="195"/>
        <v>0</v>
      </c>
      <c r="M427" s="979">
        <f t="shared" ca="1" si="195"/>
        <v>0</v>
      </c>
      <c r="N427" s="979">
        <f t="shared" ca="1" si="195"/>
        <v>0</v>
      </c>
      <c r="O427" s="979">
        <f t="shared" ca="1" si="195"/>
        <v>0</v>
      </c>
      <c r="P427" s="979">
        <f t="shared" ca="1" si="195"/>
        <v>0</v>
      </c>
      <c r="Q427" s="409"/>
      <c r="R427" s="321"/>
      <c r="S427" s="319" t="s">
        <v>700</v>
      </c>
    </row>
    <row r="428" spans="1:19" ht="12" hidden="1" customHeight="1" x14ac:dyDescent="0.35">
      <c r="A428" s="401"/>
      <c r="B428" s="422" t="s">
        <v>790</v>
      </c>
      <c r="C428" s="394"/>
      <c r="D428" s="1169"/>
      <c r="E428" s="380" t="s">
        <v>791</v>
      </c>
      <c r="F428" s="985"/>
      <c r="G428" s="977"/>
      <c r="H428" s="977"/>
      <c r="I428" s="977"/>
      <c r="J428" s="977"/>
      <c r="K428" s="977"/>
      <c r="L428" s="977"/>
      <c r="M428" s="977"/>
      <c r="N428" s="977"/>
      <c r="O428" s="977"/>
      <c r="P428" s="977"/>
      <c r="Q428" s="408"/>
      <c r="R428" s="321"/>
      <c r="S428" s="319" t="s">
        <v>663</v>
      </c>
    </row>
    <row r="429" spans="1:19" ht="12" hidden="1" customHeight="1" x14ac:dyDescent="0.35">
      <c r="A429" s="401"/>
      <c r="B429" s="395" t="s">
        <v>792</v>
      </c>
      <c r="C429" s="396"/>
      <c r="D429" s="1173"/>
      <c r="E429" s="324" t="s">
        <v>793</v>
      </c>
      <c r="F429" s="994"/>
      <c r="G429" s="979">
        <f>IF(G$336&lt;&gt;0,AcqEquity*G$336/SUM($G$336:$Q$336),0)</f>
        <v>0</v>
      </c>
      <c r="H429" s="979">
        <f t="shared" ref="H429:P429" ca="1" si="196">OFFSET(H429,0,-1)+IF(H$336&lt;&gt;0,AcqEquity*H$336/SUM($G$336:$Q$336),0)</f>
        <v>0</v>
      </c>
      <c r="I429" s="979">
        <f t="shared" ca="1" si="196"/>
        <v>0</v>
      </c>
      <c r="J429" s="979">
        <f t="shared" ca="1" si="196"/>
        <v>0</v>
      </c>
      <c r="K429" s="979">
        <f t="shared" ca="1" si="196"/>
        <v>0</v>
      </c>
      <c r="L429" s="979">
        <f t="shared" ca="1" si="196"/>
        <v>0</v>
      </c>
      <c r="M429" s="979">
        <f t="shared" ca="1" si="196"/>
        <v>0</v>
      </c>
      <c r="N429" s="979">
        <f t="shared" ca="1" si="196"/>
        <v>0</v>
      </c>
      <c r="O429" s="979">
        <f t="shared" ca="1" si="196"/>
        <v>0</v>
      </c>
      <c r="P429" s="979">
        <f t="shared" ca="1" si="196"/>
        <v>0</v>
      </c>
      <c r="Q429" s="409">
        <f ca="1">OFFSET(Q429,0,-1)</f>
        <v>0</v>
      </c>
      <c r="R429" s="321"/>
      <c r="S429" s="319" t="s">
        <v>663</v>
      </c>
    </row>
    <row r="430" spans="1:19" ht="12" hidden="1" customHeight="1" x14ac:dyDescent="0.35">
      <c r="A430" s="401"/>
      <c r="B430" s="395" t="s">
        <v>794</v>
      </c>
      <c r="C430" s="396"/>
      <c r="D430" s="1173"/>
      <c r="E430" s="324" t="s">
        <v>795</v>
      </c>
      <c r="F430" s="994"/>
      <c r="G430" s="979">
        <f ca="1">IF(LoanEnterOrProFin&lt;2,IF(AND(OFFSET(G336,1,0)&lt;&gt;0,SUM($G$336:$Q$336)&lt;&gt;0),AcqDebtAmount*G$336/SUM($G$336:$Q$336),0),G433)</f>
        <v>0</v>
      </c>
      <c r="H430" s="979">
        <f t="shared" ref="H430:P430" ca="1" si="197">IF(LoanEnterOrProFin&lt;2,0,H433)+OFFSET(H430,0,-1)+IF(AND(OFFSET(H336,1,0)&lt;&gt;0,SUM($G$336:$Q$336)&lt;&gt;0),AcqDebtAmount*H$336/SUM($G$336:$Q$336),0)+H431</f>
        <v>0</v>
      </c>
      <c r="I430" s="979">
        <f t="shared" ca="1" si="197"/>
        <v>0</v>
      </c>
      <c r="J430" s="979">
        <f t="shared" ca="1" si="197"/>
        <v>0</v>
      </c>
      <c r="K430" s="979">
        <f t="shared" ca="1" si="197"/>
        <v>0</v>
      </c>
      <c r="L430" s="979">
        <f t="shared" ca="1" si="197"/>
        <v>0</v>
      </c>
      <c r="M430" s="979">
        <f t="shared" ca="1" si="197"/>
        <v>0</v>
      </c>
      <c r="N430" s="979">
        <f t="shared" ca="1" si="197"/>
        <v>0</v>
      </c>
      <c r="O430" s="979">
        <f t="shared" ca="1" si="197"/>
        <v>0</v>
      </c>
      <c r="P430" s="979">
        <f t="shared" ca="1" si="197"/>
        <v>0</v>
      </c>
      <c r="Q430" s="409">
        <f ca="1">OFFSET(Q430,0,-1)</f>
        <v>0</v>
      </c>
      <c r="R430" s="321"/>
      <c r="S430" s="319" t="s">
        <v>663</v>
      </c>
    </row>
    <row r="431" spans="1:19" ht="12" hidden="1" customHeight="1" x14ac:dyDescent="0.35">
      <c r="A431" s="401"/>
      <c r="B431" s="395" t="s">
        <v>796</v>
      </c>
      <c r="C431" s="396"/>
      <c r="D431" s="1173"/>
      <c r="E431" s="324" t="s">
        <v>797</v>
      </c>
      <c r="F431" s="994"/>
      <c r="G431" s="979">
        <f>IF(LoanEnterOrProFin&lt;2,0,G434)</f>
        <v>0</v>
      </c>
      <c r="H431" s="979">
        <f ca="1">IF(LoanEnterOrProFin&lt;2,IF(AND(AcqDebtTime&gt;0,SUM($G$336:H$336)&lt;&gt;0),-MIN((AcqDebtAmount/AcqDebtTime)*(H$17/12)*SUM($G$336:H$336)/SUM($G$336:$Q$336),OFFSET(H430,0,-1)),0),H434)</f>
        <v>0</v>
      </c>
      <c r="I431" s="979">
        <f ca="1">IF(LoanEnterOrProFin&lt;2,IF(AND(AcqDebtTime&gt;0,SUM($G$336:I$336)&lt;&gt;0),-MIN((AcqDebtAmount/AcqDebtTime)*(I$17/12)*SUM($G$336:I$336)/SUM($G$336:$Q$336),OFFSET(I430,0,-1)),0),I434)</f>
        <v>0</v>
      </c>
      <c r="J431" s="979">
        <f ca="1">IF(LoanEnterOrProFin&lt;2,IF(AND(AcqDebtTime&gt;0,SUM($G$336:J$336)&lt;&gt;0),-MIN((AcqDebtAmount/AcqDebtTime)*(J$17/12)*SUM($G$336:J$336)/SUM($G$336:$Q$336),OFFSET(J430,0,-1)),0),J434)</f>
        <v>0</v>
      </c>
      <c r="K431" s="979">
        <f ca="1">IF(LoanEnterOrProFin&lt;2,IF(AND(AcqDebtTime&gt;0,SUM($G$336:K$336)&lt;&gt;0),-MIN((AcqDebtAmount/AcqDebtTime)*(K$17/12)*SUM($G$336:K$336)/SUM($G$336:$Q$336),OFFSET(K430,0,-1)),0),K434)</f>
        <v>0</v>
      </c>
      <c r="L431" s="979">
        <f ca="1">IF(LoanEnterOrProFin&lt;2,IF(AND(AcqDebtTime&gt;0,SUM($G$336:L$336)&lt;&gt;0),-MIN((AcqDebtAmount/AcqDebtTime)*(L$17/12)*SUM($G$336:L$336)/SUM($G$336:$Q$336),OFFSET(L430,0,-1)),0),L434)</f>
        <v>0</v>
      </c>
      <c r="M431" s="979">
        <f ca="1">IF(LoanEnterOrProFin&lt;2,IF(AND(AcqDebtTime&gt;0,SUM($G$336:M$336)&lt;&gt;0),-MIN((AcqDebtAmount/AcqDebtTime)*(M$17/12)*SUM($G$336:M$336)/SUM($G$336:$Q$336),OFFSET(M430,0,-1)),0),M434)</f>
        <v>0</v>
      </c>
      <c r="N431" s="979">
        <f ca="1">IF(LoanEnterOrProFin&lt;2,IF(AND(AcqDebtTime&gt;0,SUM($G$336:N$336)&lt;&gt;0),-MIN((AcqDebtAmount/AcqDebtTime)*(N$17/12)*SUM($G$336:N$336)/SUM($G$336:$Q$336),OFFSET(N430,0,-1)),0),N434)</f>
        <v>0</v>
      </c>
      <c r="O431" s="979">
        <f ca="1">IF(LoanEnterOrProFin&lt;2,IF(AND(AcqDebtTime&gt;0,SUM($G$336:O$336)&lt;&gt;0),-MIN((AcqDebtAmount/AcqDebtTime)*(O$17/12)*SUM($G$336:O$336)/SUM($G$336:$Q$336),OFFSET(O430,0,-1)),0),O434)</f>
        <v>0</v>
      </c>
      <c r="P431" s="979">
        <f ca="1">IF(LoanEnterOrProFin&lt;2,IF(AND(AcqDebtTime&gt;0,SUM($G$336:P$336)&lt;&gt;0),-MIN((AcqDebtAmount/AcqDebtTime)*(P$17/12)*SUM($G$336:P$336)/SUM($G$336:$Q$336),OFFSET(P430,0,-1)),0),P434)</f>
        <v>0</v>
      </c>
      <c r="Q431" s="409"/>
      <c r="R431" s="321"/>
      <c r="S431" s="319" t="s">
        <v>679</v>
      </c>
    </row>
    <row r="432" spans="1:19" ht="12" hidden="1" customHeight="1" x14ac:dyDescent="0.35">
      <c r="A432" s="401"/>
      <c r="B432" s="397" t="s">
        <v>798</v>
      </c>
      <c r="C432" s="398"/>
      <c r="D432" s="1170"/>
      <c r="E432" s="385" t="s">
        <v>799</v>
      </c>
      <c r="F432" s="986"/>
      <c r="G432" s="981">
        <f ca="1">IF(LoanEnterOrProFin&lt;2,0,G435)+IF(OFFSET(G336,1,0)&lt;&gt;0,-AcqEquityCosts,0)</f>
        <v>0</v>
      </c>
      <c r="H432" s="981">
        <f t="shared" ref="H432:P432" ca="1" si="198">IF(LoanEnterOrProFin&lt;2,-((H430+OFFSET(H430,0,-1))/2)*((AcqDebtRate/100)*(H$17/12)),H435)+IF(AND(OFFSET(H430,0,-1)=0,OFFSET(H336,1,0)&lt;&gt;0),-AcqEquityCosts,0)</f>
        <v>0</v>
      </c>
      <c r="I432" s="981">
        <f t="shared" ca="1" si="198"/>
        <v>0</v>
      </c>
      <c r="J432" s="981">
        <f t="shared" ca="1" si="198"/>
        <v>0</v>
      </c>
      <c r="K432" s="981">
        <f t="shared" ca="1" si="198"/>
        <v>0</v>
      </c>
      <c r="L432" s="981">
        <f t="shared" ca="1" si="198"/>
        <v>0</v>
      </c>
      <c r="M432" s="981">
        <f t="shared" ca="1" si="198"/>
        <v>0</v>
      </c>
      <c r="N432" s="981">
        <f t="shared" ca="1" si="198"/>
        <v>0</v>
      </c>
      <c r="O432" s="981">
        <f t="shared" ca="1" si="198"/>
        <v>0</v>
      </c>
      <c r="P432" s="981">
        <f t="shared" ca="1" si="198"/>
        <v>0</v>
      </c>
      <c r="Q432" s="975"/>
      <c r="R432" s="321"/>
      <c r="S432" s="319" t="s">
        <v>679</v>
      </c>
    </row>
    <row r="433" spans="1:19" ht="12" hidden="1" customHeight="1" x14ac:dyDescent="0.35">
      <c r="A433" s="401"/>
      <c r="B433" s="423" t="s">
        <v>794</v>
      </c>
      <c r="C433" s="423"/>
      <c r="D433" s="424"/>
      <c r="E433" s="380" t="s">
        <v>800</v>
      </c>
      <c r="F433" s="425"/>
      <c r="G433" s="426"/>
      <c r="H433" s="426"/>
      <c r="I433" s="426"/>
      <c r="J433" s="426"/>
      <c r="K433" s="426"/>
      <c r="L433" s="426"/>
      <c r="M433" s="426"/>
      <c r="N433" s="426"/>
      <c r="O433" s="426"/>
      <c r="P433" s="426"/>
      <c r="Q433" s="426"/>
      <c r="R433" s="381"/>
      <c r="S433" s="319" t="s">
        <v>700</v>
      </c>
    </row>
    <row r="434" spans="1:19" ht="12" hidden="1" customHeight="1" x14ac:dyDescent="0.35">
      <c r="A434" s="401"/>
      <c r="B434" s="427" t="s">
        <v>796</v>
      </c>
      <c r="C434" s="427"/>
      <c r="D434" s="428"/>
      <c r="E434" s="324" t="s">
        <v>801</v>
      </c>
      <c r="F434" s="429"/>
      <c r="G434" s="402"/>
      <c r="H434" s="402"/>
      <c r="I434" s="402"/>
      <c r="J434" s="402"/>
      <c r="K434" s="402"/>
      <c r="L434" s="402"/>
      <c r="M434" s="402"/>
      <c r="N434" s="402"/>
      <c r="O434" s="402"/>
      <c r="P434" s="402"/>
      <c r="Q434" s="402"/>
      <c r="R434" s="381"/>
      <c r="S434" s="319" t="s">
        <v>700</v>
      </c>
    </row>
    <row r="435" spans="1:19" ht="12" hidden="1" customHeight="1" x14ac:dyDescent="0.35">
      <c r="A435" s="401"/>
      <c r="B435" s="427" t="s">
        <v>798</v>
      </c>
      <c r="C435" s="427"/>
      <c r="D435" s="428"/>
      <c r="E435" s="324" t="s">
        <v>802</v>
      </c>
      <c r="F435" s="429"/>
      <c r="G435" s="402"/>
      <c r="H435" s="402"/>
      <c r="I435" s="402"/>
      <c r="J435" s="402"/>
      <c r="K435" s="402"/>
      <c r="L435" s="402"/>
      <c r="M435" s="402"/>
      <c r="N435" s="402"/>
      <c r="O435" s="402"/>
      <c r="P435" s="402"/>
      <c r="Q435" s="402"/>
      <c r="R435" s="381"/>
      <c r="S435" s="319" t="s">
        <v>700</v>
      </c>
    </row>
    <row r="436" spans="1:19" ht="3.75" customHeight="1" x14ac:dyDescent="0.35">
      <c r="A436" s="401"/>
      <c r="B436" s="324"/>
      <c r="C436" s="391"/>
      <c r="D436" s="391"/>
      <c r="E436" s="317" t="s">
        <v>39</v>
      </c>
      <c r="F436" s="430"/>
      <c r="G436" s="431"/>
      <c r="H436" s="431"/>
      <c r="I436" s="431"/>
      <c r="J436" s="431"/>
      <c r="K436" s="431"/>
      <c r="L436" s="431"/>
      <c r="M436" s="431"/>
      <c r="N436" s="431"/>
      <c r="O436" s="431"/>
      <c r="P436" s="431"/>
      <c r="Q436" s="431"/>
      <c r="R436" s="321"/>
      <c r="S436" s="319" t="s">
        <v>66</v>
      </c>
    </row>
    <row r="437" spans="1:19" ht="12" customHeight="1" x14ac:dyDescent="0.35">
      <c r="A437" s="235"/>
      <c r="B437" s="432" t="s">
        <v>803</v>
      </c>
      <c r="C437" s="391"/>
      <c r="D437" s="391"/>
      <c r="E437" s="324" t="s">
        <v>804</v>
      </c>
      <c r="F437" s="317"/>
      <c r="G437" s="433"/>
      <c r="H437" s="433"/>
      <c r="I437" s="433"/>
      <c r="J437" s="433"/>
      <c r="K437" s="433"/>
      <c r="L437" s="433"/>
      <c r="M437" s="433"/>
      <c r="N437" s="433"/>
      <c r="O437" s="433"/>
      <c r="P437" s="433"/>
      <c r="Q437" s="433"/>
      <c r="R437" s="321"/>
      <c r="S437" s="319" t="s">
        <v>54</v>
      </c>
    </row>
    <row r="438" spans="1:19" ht="12" customHeight="1" x14ac:dyDescent="0.35">
      <c r="A438" s="235"/>
      <c r="B438" s="434"/>
      <c r="C438" s="391"/>
      <c r="D438" s="391"/>
      <c r="E438" s="324" t="s">
        <v>805</v>
      </c>
      <c r="F438" s="317"/>
      <c r="G438" s="433"/>
      <c r="H438" s="433"/>
      <c r="I438" s="433"/>
      <c r="J438" s="433"/>
      <c r="K438" s="433"/>
      <c r="L438" s="433"/>
      <c r="M438" s="433"/>
      <c r="N438" s="433"/>
      <c r="O438" s="433"/>
      <c r="P438" s="433"/>
      <c r="Q438" s="433"/>
      <c r="R438" s="321"/>
      <c r="S438" s="319" t="s">
        <v>54</v>
      </c>
    </row>
    <row r="439" spans="1:19" ht="16" customHeight="1" x14ac:dyDescent="0.35">
      <c r="A439" s="235"/>
      <c r="B439" s="350" t="s">
        <v>806</v>
      </c>
      <c r="C439" s="235"/>
      <c r="D439" s="235"/>
      <c r="E439" s="324" t="s">
        <v>807</v>
      </c>
      <c r="F439" s="317"/>
      <c r="G439" s="235"/>
      <c r="H439" s="235"/>
      <c r="I439" s="235"/>
      <c r="J439" s="235"/>
      <c r="K439" s="235"/>
      <c r="L439" s="235"/>
      <c r="M439" s="235"/>
      <c r="N439" s="235"/>
      <c r="O439" s="235"/>
      <c r="P439" s="235"/>
      <c r="Q439" s="235"/>
      <c r="R439" s="321"/>
      <c r="S439" s="319" t="s">
        <v>66</v>
      </c>
    </row>
    <row r="440" spans="1:19" ht="11.25" customHeight="1" x14ac:dyDescent="0.35">
      <c r="A440" s="401"/>
      <c r="B440" s="334" t="str">
        <f>IF(PrintMode=0,"      ","")&amp;IF(Figures&gt;1,Figures&amp;" ","")&amp;Currency</f>
        <v xml:space="preserve">      Euro</v>
      </c>
      <c r="C440" s="435"/>
      <c r="D440" s="1104"/>
      <c r="E440" s="337" t="s">
        <v>808</v>
      </c>
      <c r="F440" s="950" t="str">
        <f t="shared" ref="F440:P440" si="199">F$1&amp;"/"&amp;F$3</f>
        <v>12/2018</v>
      </c>
      <c r="G440" s="951" t="str">
        <f t="shared" si="199"/>
        <v>9/2019</v>
      </c>
      <c r="H440" s="952" t="str">
        <f t="shared" si="199"/>
        <v>9/2019</v>
      </c>
      <c r="I440" s="952" t="str">
        <f t="shared" si="199"/>
        <v>10/2019</v>
      </c>
      <c r="J440" s="952" t="str">
        <f t="shared" si="199"/>
        <v>11/2019</v>
      </c>
      <c r="K440" s="952" t="str">
        <f t="shared" si="199"/>
        <v>12/2019</v>
      </c>
      <c r="L440" s="952" t="str">
        <f t="shared" si="199"/>
        <v>12/2020</v>
      </c>
      <c r="M440" s="952" t="str">
        <f t="shared" si="199"/>
        <v>12/2021</v>
      </c>
      <c r="N440" s="952" t="str">
        <f t="shared" si="199"/>
        <v>12/2022</v>
      </c>
      <c r="O440" s="952" t="str">
        <f t="shared" si="199"/>
        <v>12/2023</v>
      </c>
      <c r="P440" s="952" t="str">
        <f t="shared" si="199"/>
        <v>12/2024</v>
      </c>
      <c r="Q440" s="947" t="str">
        <f ca="1">Q$16</f>
        <v>Residual</v>
      </c>
      <c r="R440" s="321"/>
      <c r="S440" s="319" t="s">
        <v>66</v>
      </c>
    </row>
    <row r="441" spans="1:19" ht="11.25" customHeight="1" x14ac:dyDescent="0.35">
      <c r="A441" s="235"/>
      <c r="B441" s="341" t="s">
        <v>59</v>
      </c>
      <c r="C441" s="342"/>
      <c r="D441" s="1105"/>
      <c r="E441" s="392" t="s">
        <v>809</v>
      </c>
      <c r="F441" s="953">
        <f>F$17</f>
        <v>12</v>
      </c>
      <c r="G441" s="954"/>
      <c r="H441" s="954">
        <f t="shared" ref="H441:Q441" si="200">H$17</f>
        <v>1</v>
      </c>
      <c r="I441" s="954">
        <f t="shared" si="200"/>
        <v>1</v>
      </c>
      <c r="J441" s="954">
        <f t="shared" si="200"/>
        <v>1</v>
      </c>
      <c r="K441" s="954">
        <f t="shared" si="200"/>
        <v>1</v>
      </c>
      <c r="L441" s="954">
        <f t="shared" si="200"/>
        <v>12</v>
      </c>
      <c r="M441" s="954">
        <f t="shared" si="200"/>
        <v>12</v>
      </c>
      <c r="N441" s="954">
        <f t="shared" si="200"/>
        <v>12</v>
      </c>
      <c r="O441" s="954">
        <f t="shared" si="200"/>
        <v>12</v>
      </c>
      <c r="P441" s="954">
        <f t="shared" si="200"/>
        <v>12</v>
      </c>
      <c r="Q441" s="948" t="str">
        <f t="shared" ca="1" si="200"/>
        <v>(12/2024)</v>
      </c>
      <c r="R441" s="321"/>
      <c r="S441" s="319" t="s">
        <v>71</v>
      </c>
    </row>
    <row r="442" spans="1:19" ht="11.25" customHeight="1" x14ac:dyDescent="0.35">
      <c r="A442" s="235"/>
      <c r="B442" s="436" t="s">
        <v>810</v>
      </c>
      <c r="C442" s="391"/>
      <c r="D442" s="1155"/>
      <c r="E442" s="317" t="s">
        <v>811</v>
      </c>
      <c r="F442" s="1017"/>
      <c r="G442" s="1018"/>
      <c r="H442" s="1018"/>
      <c r="I442" s="1018"/>
      <c r="J442" s="1018"/>
      <c r="K442" s="1018"/>
      <c r="L442" s="1018"/>
      <c r="M442" s="1018"/>
      <c r="N442" s="1018"/>
      <c r="O442" s="1018"/>
      <c r="P442" s="1018"/>
      <c r="Q442" s="1005"/>
      <c r="R442" s="321"/>
      <c r="S442" s="319" t="s">
        <v>71</v>
      </c>
    </row>
    <row r="443" spans="1:19" ht="11.25" customHeight="1" x14ac:dyDescent="0.35">
      <c r="A443" s="235"/>
      <c r="B443" s="445"/>
      <c r="C443" s="438" t="s">
        <v>1950</v>
      </c>
      <c r="D443" s="1156"/>
      <c r="E443" s="439" t="s">
        <v>812</v>
      </c>
      <c r="F443" s="1333">
        <f>F$444*F$445*F$446</f>
        <v>0</v>
      </c>
      <c r="G443" s="1020"/>
      <c r="H443" s="1333">
        <f t="shared" ref="H443:P443" si="201">H$444*H$445*H$446</f>
        <v>945000</v>
      </c>
      <c r="I443" s="1333">
        <f t="shared" ca="1" si="201"/>
        <v>961117.49473981478</v>
      </c>
      <c r="J443" s="1333">
        <f t="shared" ca="1" si="201"/>
        <v>977509.88221686566</v>
      </c>
      <c r="K443" s="1333">
        <f t="shared" ca="1" si="201"/>
        <v>994181.85087797383</v>
      </c>
      <c r="L443" s="1333">
        <f t="shared" ca="1" si="201"/>
        <v>14614473.207906216</v>
      </c>
      <c r="M443" s="1333">
        <f t="shared" ca="1" si="201"/>
        <v>17902729.679685112</v>
      </c>
      <c r="N443" s="1333">
        <f t="shared" ca="1" si="201"/>
        <v>21930843.857614264</v>
      </c>
      <c r="O443" s="1333">
        <f t="shared" ca="1" si="201"/>
        <v>26865283.72557747</v>
      </c>
      <c r="P443" s="1333">
        <f t="shared" ca="1" si="201"/>
        <v>32909972.563832402</v>
      </c>
      <c r="Q443" s="1006"/>
      <c r="R443" s="321" t="str">
        <f t="shared" ref="R443:R455" si="202">IF(MID(S443,7,1)="D","  ","")</f>
        <v/>
      </c>
      <c r="S443" s="319" t="s">
        <v>71</v>
      </c>
    </row>
    <row r="444" spans="1:19" ht="13" customHeight="1" x14ac:dyDescent="0.35">
      <c r="A444" s="235"/>
      <c r="B444" s="1339" t="s">
        <v>42</v>
      </c>
      <c r="C444" s="1340" t="s">
        <v>6242</v>
      </c>
      <c r="D444" s="1341"/>
      <c r="E444" s="1342" t="s">
        <v>6233</v>
      </c>
      <c r="F444" s="1343"/>
      <c r="G444" s="1344"/>
      <c r="H444" s="1343">
        <v>9000</v>
      </c>
      <c r="I444" s="1343">
        <f t="shared" ref="I444:P444" ca="1" si="203">OFFSET(I444,0,-1)*(1+((1+0/100)^(1/(12/I$12))-1))*IF(OFFSET(I$12,0,-1)&lt;&gt;0,I$12/OFFSET(I$12,0,-1),1)</f>
        <v>9000</v>
      </c>
      <c r="J444" s="1343">
        <f t="shared" ca="1" si="203"/>
        <v>9000</v>
      </c>
      <c r="K444" s="1343">
        <f t="shared" ca="1" si="203"/>
        <v>9000</v>
      </c>
      <c r="L444" s="1343">
        <f t="shared" ca="1" si="203"/>
        <v>108000</v>
      </c>
      <c r="M444" s="1343">
        <f t="shared" ca="1" si="203"/>
        <v>108000</v>
      </c>
      <c r="N444" s="1343">
        <f t="shared" ca="1" si="203"/>
        <v>108000</v>
      </c>
      <c r="O444" s="1343">
        <f t="shared" ca="1" si="203"/>
        <v>108000</v>
      </c>
      <c r="P444" s="1343">
        <f t="shared" ca="1" si="203"/>
        <v>108000</v>
      </c>
      <c r="Q444" s="1345"/>
      <c r="R444" s="321"/>
      <c r="S444" s="319" t="s">
        <v>82</v>
      </c>
    </row>
    <row r="445" spans="1:19" ht="13" customHeight="1" x14ac:dyDescent="0.35">
      <c r="A445" s="235"/>
      <c r="B445" s="1339" t="s">
        <v>46</v>
      </c>
      <c r="C445" s="1337" t="s">
        <v>6243</v>
      </c>
      <c r="D445" s="1334"/>
      <c r="E445" s="439" t="s">
        <v>6234</v>
      </c>
      <c r="F445" s="1335"/>
      <c r="G445" s="1020"/>
      <c r="H445" s="1379">
        <v>0.3</v>
      </c>
      <c r="I445" s="1379">
        <f t="shared" ref="I445:P445" ca="1" si="204">OFFSET(I445,0,-1)*(1+((1+25/100)^(1/(12/I$12))-1))</f>
        <v>0.30563077953645185</v>
      </c>
      <c r="J445" s="1379">
        <f t="shared" ca="1" si="204"/>
        <v>0.31136724466686411</v>
      </c>
      <c r="K445" s="1379">
        <f t="shared" ca="1" si="204"/>
        <v>0.31721137903216934</v>
      </c>
      <c r="L445" s="1379">
        <f t="shared" ca="1" si="204"/>
        <v>0.39651422379021167</v>
      </c>
      <c r="M445" s="1379">
        <f t="shared" ca="1" si="204"/>
        <v>0.4956427797377646</v>
      </c>
      <c r="N445" s="1379">
        <f t="shared" ca="1" si="204"/>
        <v>0.61955347467220578</v>
      </c>
      <c r="O445" s="1379">
        <f t="shared" ca="1" si="204"/>
        <v>0.77444184334025723</v>
      </c>
      <c r="P445" s="1379">
        <f t="shared" ca="1" si="204"/>
        <v>0.96805230417532151</v>
      </c>
      <c r="Q445" s="1336"/>
      <c r="R445" s="321"/>
      <c r="S445" s="319" t="s">
        <v>82</v>
      </c>
    </row>
    <row r="446" spans="1:19" ht="13" customHeight="1" x14ac:dyDescent="0.35">
      <c r="A446" s="235"/>
      <c r="B446" s="1338" t="s">
        <v>46</v>
      </c>
      <c r="C446" s="1346" t="s">
        <v>6244</v>
      </c>
      <c r="D446" s="1347"/>
      <c r="E446" s="364" t="s">
        <v>6235</v>
      </c>
      <c r="F446" s="1348"/>
      <c r="G446" s="1349"/>
      <c r="H446" s="1380">
        <v>350</v>
      </c>
      <c r="I446" s="1380">
        <f ca="1">OFFSET(I446,0,-1)*(1+((1+-2/100)^(1/(12/I$12))-1))</f>
        <v>349.41125010654116</v>
      </c>
      <c r="J446" s="1380">
        <f ca="1">OFFSET(J446,0,-1)*(1+((1+-2/100)^(1/(12/J$12))-1))</f>
        <v>348.823490574331</v>
      </c>
      <c r="K446" s="1380">
        <f ca="1">OFFSET(K446,0,-1)*(1+((1+-2/100)^(1/(12/K$12))-1))</f>
        <v>348.23671973744075</v>
      </c>
      <c r="L446" s="1380">
        <f ca="1">OFFSET(L446,0,-1)*(1+((1+-2/100)^(1/(12/L$12))-1))</f>
        <v>341.27198534269195</v>
      </c>
      <c r="M446" s="1380">
        <f ca="1">OFFSET(M446,0,-1)*(1+((1+-2/100)^(1/(12/M$12))-1))</f>
        <v>334.44654563583811</v>
      </c>
      <c r="N446" s="1380">
        <f ca="1">OFFSET(N446,0,-1)*(1+((1+-2/100)^(1/(12/N$12))-1))</f>
        <v>327.75761472312132</v>
      </c>
      <c r="O446" s="1380">
        <f ca="1">OFFSET(O446,0,-1)*(1+((1+-2/100)^(1/(12/O$12))-1))</f>
        <v>321.20246242865886</v>
      </c>
      <c r="P446" s="1380">
        <f ca="1">OFFSET(P446,0,-1)*(1+((1+-2/100)^(1/(12/P$12))-1))</f>
        <v>314.77841318008569</v>
      </c>
      <c r="Q446" s="1350"/>
      <c r="R446" s="321"/>
      <c r="S446" s="319" t="s">
        <v>82</v>
      </c>
    </row>
    <row r="447" spans="1:19" ht="11.25" hidden="1" customHeight="1" x14ac:dyDescent="0.35">
      <c r="A447" s="235"/>
      <c r="B447" s="445"/>
      <c r="C447" s="438"/>
      <c r="D447" s="1156"/>
      <c r="E447" s="324" t="s">
        <v>813</v>
      </c>
      <c r="F447" s="1019"/>
      <c r="G447" s="1020"/>
      <c r="H447" s="1019"/>
      <c r="I447" s="1019"/>
      <c r="J447" s="1019"/>
      <c r="K447" s="1019"/>
      <c r="L447" s="1019"/>
      <c r="M447" s="1019"/>
      <c r="N447" s="1019"/>
      <c r="O447" s="1019"/>
      <c r="P447" s="1019"/>
      <c r="Q447" s="1006"/>
      <c r="R447" s="321" t="str">
        <f t="shared" si="202"/>
        <v/>
      </c>
      <c r="S447" s="319" t="s">
        <v>73</v>
      </c>
    </row>
    <row r="448" spans="1:19" ht="11.25" hidden="1" customHeight="1" x14ac:dyDescent="0.35">
      <c r="A448" s="235"/>
      <c r="B448" s="445"/>
      <c r="C448" s="438"/>
      <c r="D448" s="1156"/>
      <c r="E448" s="324" t="s">
        <v>814</v>
      </c>
      <c r="F448" s="1019"/>
      <c r="G448" s="1020"/>
      <c r="H448" s="1019"/>
      <c r="I448" s="1019"/>
      <c r="J448" s="1019"/>
      <c r="K448" s="1019"/>
      <c r="L448" s="1019"/>
      <c r="M448" s="1019"/>
      <c r="N448" s="1019"/>
      <c r="O448" s="1019"/>
      <c r="P448" s="1019"/>
      <c r="Q448" s="1006"/>
      <c r="R448" s="321" t="str">
        <f t="shared" si="202"/>
        <v/>
      </c>
      <c r="S448" s="319" t="s">
        <v>73</v>
      </c>
    </row>
    <row r="449" spans="1:19" ht="11.25" hidden="1" customHeight="1" x14ac:dyDescent="0.35">
      <c r="A449" s="235"/>
      <c r="B449" s="445"/>
      <c r="C449" s="438"/>
      <c r="D449" s="1156"/>
      <c r="E449" s="324" t="s">
        <v>815</v>
      </c>
      <c r="F449" s="1019"/>
      <c r="G449" s="1020"/>
      <c r="H449" s="1019"/>
      <c r="I449" s="1019"/>
      <c r="J449" s="1019"/>
      <c r="K449" s="1019"/>
      <c r="L449" s="1019"/>
      <c r="M449" s="1019"/>
      <c r="N449" s="1019"/>
      <c r="O449" s="1019"/>
      <c r="P449" s="1019"/>
      <c r="Q449" s="1006"/>
      <c r="R449" s="321" t="str">
        <f t="shared" si="202"/>
        <v/>
      </c>
      <c r="S449" s="319" t="s">
        <v>73</v>
      </c>
    </row>
    <row r="450" spans="1:19" ht="11.25" hidden="1" customHeight="1" x14ac:dyDescent="0.35">
      <c r="A450" s="235"/>
      <c r="B450" s="445"/>
      <c r="C450" s="438"/>
      <c r="D450" s="1156"/>
      <c r="E450" s="324" t="s">
        <v>816</v>
      </c>
      <c r="F450" s="1019"/>
      <c r="G450" s="1020"/>
      <c r="H450" s="1019"/>
      <c r="I450" s="1019"/>
      <c r="J450" s="1019"/>
      <c r="K450" s="1019"/>
      <c r="L450" s="1019"/>
      <c r="M450" s="1019"/>
      <c r="N450" s="1019"/>
      <c r="O450" s="1019"/>
      <c r="P450" s="1019"/>
      <c r="Q450" s="1006"/>
      <c r="R450" s="321" t="str">
        <f t="shared" si="202"/>
        <v/>
      </c>
      <c r="S450" s="319" t="s">
        <v>73</v>
      </c>
    </row>
    <row r="451" spans="1:19" ht="11.25" hidden="1" customHeight="1" x14ac:dyDescent="0.35">
      <c r="A451" s="235"/>
      <c r="B451" s="445"/>
      <c r="C451" s="438"/>
      <c r="D451" s="1156"/>
      <c r="E451" s="324" t="s">
        <v>5155</v>
      </c>
      <c r="F451" s="1019"/>
      <c r="G451" s="1020"/>
      <c r="H451" s="1019"/>
      <c r="I451" s="1019"/>
      <c r="J451" s="1019"/>
      <c r="K451" s="1019"/>
      <c r="L451" s="1019"/>
      <c r="M451" s="1019"/>
      <c r="N451" s="1019"/>
      <c r="O451" s="1019"/>
      <c r="P451" s="1019"/>
      <c r="Q451" s="1006"/>
      <c r="R451" s="321" t="str">
        <f t="shared" si="202"/>
        <v/>
      </c>
      <c r="S451" s="319" t="s">
        <v>73</v>
      </c>
    </row>
    <row r="452" spans="1:19" ht="11.25" hidden="1" customHeight="1" x14ac:dyDescent="0.35">
      <c r="A452" s="235"/>
      <c r="B452" s="445"/>
      <c r="C452" s="438"/>
      <c r="D452" s="1156"/>
      <c r="E452" s="324" t="s">
        <v>5156</v>
      </c>
      <c r="F452" s="1019"/>
      <c r="G452" s="1020"/>
      <c r="H452" s="1019"/>
      <c r="I452" s="1019"/>
      <c r="J452" s="1019"/>
      <c r="K452" s="1019"/>
      <c r="L452" s="1019"/>
      <c r="M452" s="1019"/>
      <c r="N452" s="1019"/>
      <c r="O452" s="1019"/>
      <c r="P452" s="1019"/>
      <c r="Q452" s="1006"/>
      <c r="R452" s="321" t="str">
        <f t="shared" si="202"/>
        <v/>
      </c>
      <c r="S452" s="319" t="s">
        <v>73</v>
      </c>
    </row>
    <row r="453" spans="1:19" ht="11.25" hidden="1" customHeight="1" x14ac:dyDescent="0.35">
      <c r="A453" s="235"/>
      <c r="B453" s="445"/>
      <c r="C453" s="438"/>
      <c r="D453" s="1156"/>
      <c r="E453" s="324" t="s">
        <v>5157</v>
      </c>
      <c r="F453" s="1019"/>
      <c r="G453" s="1020"/>
      <c r="H453" s="1019"/>
      <c r="I453" s="1019"/>
      <c r="J453" s="1019"/>
      <c r="K453" s="1019"/>
      <c r="L453" s="1019"/>
      <c r="M453" s="1019"/>
      <c r="N453" s="1019"/>
      <c r="O453" s="1019"/>
      <c r="P453" s="1019"/>
      <c r="Q453" s="1006"/>
      <c r="R453" s="321" t="str">
        <f t="shared" si="202"/>
        <v/>
      </c>
      <c r="S453" s="319" t="s">
        <v>73</v>
      </c>
    </row>
    <row r="454" spans="1:19" ht="11.25" hidden="1" customHeight="1" x14ac:dyDescent="0.35">
      <c r="A454" s="235"/>
      <c r="B454" s="445"/>
      <c r="C454" s="438"/>
      <c r="D454" s="1156"/>
      <c r="E454" s="324" t="s">
        <v>5158</v>
      </c>
      <c r="F454" s="1019"/>
      <c r="G454" s="1020"/>
      <c r="H454" s="1019"/>
      <c r="I454" s="1019"/>
      <c r="J454" s="1019"/>
      <c r="K454" s="1019"/>
      <c r="L454" s="1019"/>
      <c r="M454" s="1019"/>
      <c r="N454" s="1019"/>
      <c r="O454" s="1019"/>
      <c r="P454" s="1019"/>
      <c r="Q454" s="1006"/>
      <c r="R454" s="321" t="str">
        <f t="shared" si="202"/>
        <v/>
      </c>
      <c r="S454" s="319" t="s">
        <v>73</v>
      </c>
    </row>
    <row r="455" spans="1:19" ht="11.25" hidden="1" customHeight="1" x14ac:dyDescent="0.35">
      <c r="A455" s="235"/>
      <c r="B455" s="445"/>
      <c r="C455" s="440"/>
      <c r="D455" s="1157"/>
      <c r="E455" s="324" t="s">
        <v>5159</v>
      </c>
      <c r="F455" s="1021"/>
      <c r="G455" s="1020"/>
      <c r="H455" s="1021"/>
      <c r="I455" s="1021"/>
      <c r="J455" s="1021"/>
      <c r="K455" s="1021"/>
      <c r="L455" s="1021"/>
      <c r="M455" s="1021"/>
      <c r="N455" s="1021"/>
      <c r="O455" s="1021"/>
      <c r="P455" s="1021"/>
      <c r="Q455" s="1007"/>
      <c r="R455" s="321" t="str">
        <f t="shared" si="202"/>
        <v/>
      </c>
      <c r="S455" s="319" t="s">
        <v>73</v>
      </c>
    </row>
    <row r="456" spans="1:19" ht="14.15" customHeight="1" x14ac:dyDescent="0.35">
      <c r="A456" s="235"/>
      <c r="B456" s="441" t="s">
        <v>817</v>
      </c>
      <c r="C456" s="314"/>
      <c r="D456" s="1158"/>
      <c r="E456" s="380" t="s">
        <v>818</v>
      </c>
      <c r="F456" s="1022">
        <f ca="1">OFFSET($E$443,0,F$8)+OFFSET($E$447,0,F$8)+OFFSET($E$448,0,F$8)+OFFSET($E$449,0,F$8)+OFFSET($E$450,0,F$8)+OFFSET($E$451,0,F$8)+OFFSET($E$452,0,F$8)+OFFSET($E$453,0,F$8)+OFFSET($E$454,0,F$8)+OFFSET($E$455,0,F$8)</f>
        <v>0</v>
      </c>
      <c r="G456" s="1022">
        <f t="shared" ref="G456:Q456" ca="1" si="205">OFFSET($E$443,0,G$8)+OFFSET($E$447,0,G$8)+OFFSET($E$448,0,G$8)+OFFSET($E$449,0,G$8)+OFFSET($E$450,0,G$8)+OFFSET($E$451,0,G$8)+OFFSET($E$452,0,G$8)+OFFSET($E$453,0,G$8)+OFFSET($E$454,0,G$8)+OFFSET($E$455,0,G$8)</f>
        <v>0</v>
      </c>
      <c r="H456" s="1022">
        <f t="shared" ca="1" si="205"/>
        <v>945000</v>
      </c>
      <c r="I456" s="1022">
        <f t="shared" ca="1" si="205"/>
        <v>961117.49473981478</v>
      </c>
      <c r="J456" s="1022">
        <f t="shared" ca="1" si="205"/>
        <v>977509.88221686566</v>
      </c>
      <c r="K456" s="1022">
        <f t="shared" ca="1" si="205"/>
        <v>994181.85087797383</v>
      </c>
      <c r="L456" s="1022">
        <f t="shared" ca="1" si="205"/>
        <v>14614473.207906216</v>
      </c>
      <c r="M456" s="1022">
        <f t="shared" ca="1" si="205"/>
        <v>17902729.679685112</v>
      </c>
      <c r="N456" s="1022">
        <f t="shared" ca="1" si="205"/>
        <v>21930843.857614264</v>
      </c>
      <c r="O456" s="1022">
        <f t="shared" ca="1" si="205"/>
        <v>26865283.72557747</v>
      </c>
      <c r="P456" s="1022">
        <f t="shared" ca="1" si="205"/>
        <v>32909972.563832402</v>
      </c>
      <c r="Q456" s="1008">
        <f t="shared" ca="1" si="205"/>
        <v>0</v>
      </c>
      <c r="R456" s="321"/>
      <c r="S456" s="319" t="s">
        <v>644</v>
      </c>
    </row>
    <row r="457" spans="1:19" ht="11.25" hidden="1" customHeight="1" x14ac:dyDescent="0.35">
      <c r="A457" s="442"/>
      <c r="B457" s="443" t="s">
        <v>5544</v>
      </c>
      <c r="C457" s="444"/>
      <c r="D457" s="1159"/>
      <c r="E457" s="324" t="s">
        <v>819</v>
      </c>
      <c r="F457" s="1023">
        <f ca="1">IF(OFFSET(F$1,0,-1)=FinMonth,F456,F456+IF(OFFSET(F$7,0,-1)=0,OFFSET(F457,0,-1),0))</f>
        <v>0</v>
      </c>
      <c r="G457" s="1024">
        <f ca="1">IF(RIGHT(OFFSET(G$6,0,-1),6)=RIGHT(G$6,6),OFFSET(G457,0,-1),0)+G456</f>
        <v>0</v>
      </c>
      <c r="H457" s="1023">
        <f t="shared" ref="H457:P457" ca="1" si="206">IF(OFFSET(H$1,0,-1)=FinMonth,H456,H456+OFFSET(H457,0,-1))</f>
        <v>945000</v>
      </c>
      <c r="I457" s="1023">
        <f t="shared" ca="1" si="206"/>
        <v>1906117.4947398147</v>
      </c>
      <c r="J457" s="1023">
        <f t="shared" ca="1" si="206"/>
        <v>2883627.3769566803</v>
      </c>
      <c r="K457" s="1023">
        <f t="shared" ca="1" si="206"/>
        <v>3877809.227834654</v>
      </c>
      <c r="L457" s="1023">
        <f t="shared" ca="1" si="206"/>
        <v>14614473.207906216</v>
      </c>
      <c r="M457" s="1023">
        <f t="shared" ca="1" si="206"/>
        <v>17902729.679685112</v>
      </c>
      <c r="N457" s="1023">
        <f t="shared" ca="1" si="206"/>
        <v>21930843.857614264</v>
      </c>
      <c r="O457" s="1023">
        <f t="shared" ca="1" si="206"/>
        <v>26865283.72557747</v>
      </c>
      <c r="P457" s="1023">
        <f t="shared" ca="1" si="206"/>
        <v>32909972.563832402</v>
      </c>
      <c r="Q457" s="1009"/>
      <c r="R457" s="381"/>
      <c r="S457" s="319" t="s">
        <v>6214</v>
      </c>
    </row>
    <row r="458" spans="1:19" ht="11.25" customHeight="1" x14ac:dyDescent="0.35">
      <c r="A458" s="235"/>
      <c r="B458" s="445" t="str">
        <f>IF(PrintMode=0,"      ","")&amp;"Other operating income"</f>
        <v xml:space="preserve">      Other operating income</v>
      </c>
      <c r="C458" s="434"/>
      <c r="D458" s="1118"/>
      <c r="E458" s="324" t="s">
        <v>820</v>
      </c>
      <c r="F458" s="1025"/>
      <c r="G458" s="1026"/>
      <c r="H458" s="1025"/>
      <c r="I458" s="1025"/>
      <c r="J458" s="1025"/>
      <c r="K458" s="1025"/>
      <c r="L458" s="1025"/>
      <c r="M458" s="1025"/>
      <c r="N458" s="1025"/>
      <c r="O458" s="1025"/>
      <c r="P458" s="1025"/>
      <c r="Q458" s="1010"/>
      <c r="R458" s="321" t="str">
        <f>IF(MID(S458,7,1)="D","  ","")</f>
        <v/>
      </c>
      <c r="S458" s="319" t="s">
        <v>71</v>
      </c>
    </row>
    <row r="459" spans="1:19" ht="11.25" customHeight="1" x14ac:dyDescent="0.35">
      <c r="A459" s="235"/>
      <c r="B459" s="446" t="s">
        <v>821</v>
      </c>
      <c r="C459" s="447"/>
      <c r="D459" s="1160"/>
      <c r="E459" s="420" t="s">
        <v>822</v>
      </c>
      <c r="F459" s="1027">
        <f ca="1">OFFSET($E$460,0,F$8)+OFFSET($E$463,0,F$8)+OFFSET($E$464,0,F$8)+OFFSET($E$465,0,F$8)+OFFSET($E$466,0,F$8)+OFFSET($E$467,0,F$8)+OFFSET($E$468,0,F$8)+OFFSET($E$469,0,F$8)+OFFSET($E$470,0,F$8)+OFFSET($E$471,0,F$8)</f>
        <v>0</v>
      </c>
      <c r="G459" s="1027">
        <f t="shared" ref="G459:Q459" ca="1" si="207">OFFSET($E$460,0,G$8)+OFFSET($E$463,0,G$8)+OFFSET($E$464,0,G$8)+OFFSET($E$465,0,G$8)+OFFSET($E$466,0,G$8)+OFFSET($E$467,0,G$8)+OFFSET($E$468,0,G$8)+OFFSET($E$469,0,G$8)+OFFSET($E$470,0,G$8)+OFFSET($E$471,0,G$8)</f>
        <v>0</v>
      </c>
      <c r="H459" s="1027">
        <f t="shared" ca="1" si="207"/>
        <v>-661500</v>
      </c>
      <c r="I459" s="1027">
        <f t="shared" ca="1" si="207"/>
        <v>-672782.24631787033</v>
      </c>
      <c r="J459" s="1027">
        <f t="shared" ca="1" si="207"/>
        <v>-684256.91755180596</v>
      </c>
      <c r="K459" s="1027">
        <f t="shared" ca="1" si="207"/>
        <v>-695927.29561458167</v>
      </c>
      <c r="L459" s="1027">
        <f t="shared" ca="1" si="207"/>
        <v>-10230131.245534351</v>
      </c>
      <c r="M459" s="1027">
        <f t="shared" ca="1" si="207"/>
        <v>-12531910.775779577</v>
      </c>
      <c r="N459" s="1027">
        <f t="shared" ca="1" si="207"/>
        <v>-15351590.700329984</v>
      </c>
      <c r="O459" s="1027">
        <f t="shared" ca="1" si="207"/>
        <v>-18805698.607904229</v>
      </c>
      <c r="P459" s="1027">
        <f t="shared" ca="1" si="207"/>
        <v>-23036980.794682682</v>
      </c>
      <c r="Q459" s="579">
        <f t="shared" ca="1" si="207"/>
        <v>0</v>
      </c>
      <c r="R459" s="321"/>
      <c r="S459" s="319" t="s">
        <v>644</v>
      </c>
    </row>
    <row r="460" spans="1:19" ht="11.25" customHeight="1" x14ac:dyDescent="0.35">
      <c r="A460" s="235"/>
      <c r="B460" s="445"/>
      <c r="C460" s="448" t="s">
        <v>823</v>
      </c>
      <c r="D460" s="1161"/>
      <c r="E460" s="449" t="s">
        <v>824</v>
      </c>
      <c r="F460" s="1351">
        <f>F$461+0</f>
        <v>0</v>
      </c>
      <c r="G460" s="1029"/>
      <c r="H460" s="1351">
        <f ca="1">H$461+0</f>
        <v>-661500</v>
      </c>
      <c r="I460" s="1351">
        <f ca="1">I$461+0</f>
        <v>-672782.24631787033</v>
      </c>
      <c r="J460" s="1351">
        <f ca="1">J$461+0</f>
        <v>-684256.91755180596</v>
      </c>
      <c r="K460" s="1351">
        <f ca="1">K$461+0</f>
        <v>-695927.29561458167</v>
      </c>
      <c r="L460" s="1351">
        <f ca="1">L$461+0</f>
        <v>-10230131.245534351</v>
      </c>
      <c r="M460" s="1351">
        <f ca="1">M$461+0</f>
        <v>-12531910.775779577</v>
      </c>
      <c r="N460" s="1351">
        <f ca="1">N$461+0</f>
        <v>-15351590.700329984</v>
      </c>
      <c r="O460" s="1351">
        <f ca="1">O$461+0</f>
        <v>-18805698.607904229</v>
      </c>
      <c r="P460" s="1351">
        <f ca="1">P$461+0</f>
        <v>-23036980.794682682</v>
      </c>
      <c r="Q460" s="1011"/>
      <c r="R460" s="321" t="str">
        <f t="shared" ref="R460:R467" si="208">IF(MID(S460,7,1)="D","  ","")</f>
        <v/>
      </c>
      <c r="S460" s="319" t="s">
        <v>71</v>
      </c>
    </row>
    <row r="461" spans="1:19" ht="13" customHeight="1" x14ac:dyDescent="0.35">
      <c r="A461" s="235"/>
      <c r="B461" s="1339" t="s">
        <v>42</v>
      </c>
      <c r="C461" s="1340" t="s">
        <v>829</v>
      </c>
      <c r="D461" s="1352"/>
      <c r="E461" s="380" t="s">
        <v>6236</v>
      </c>
      <c r="F461" s="1353"/>
      <c r="G461" s="1055"/>
      <c r="H461" s="1353">
        <f ca="1">-(H462*H456)</f>
        <v>-661500</v>
      </c>
      <c r="I461" s="1353">
        <f ca="1">-(I462*I456)</f>
        <v>-672782.24631787033</v>
      </c>
      <c r="J461" s="1353">
        <f ca="1">-(J462*J456)</f>
        <v>-684256.91755180596</v>
      </c>
      <c r="K461" s="1353">
        <f ca="1">-(K462*K456)</f>
        <v>-695927.29561458167</v>
      </c>
      <c r="L461" s="1353">
        <f ca="1">-(L462*L456)</f>
        <v>-10230131.245534351</v>
      </c>
      <c r="M461" s="1353">
        <f ca="1">-(M462*M456)</f>
        <v>-12531910.775779577</v>
      </c>
      <c r="N461" s="1353">
        <f ca="1">-(N462*N456)</f>
        <v>-15351590.700329984</v>
      </c>
      <c r="O461" s="1353">
        <f ca="1">-(O462*O456)</f>
        <v>-18805698.607904229</v>
      </c>
      <c r="P461" s="1353">
        <f ca="1">-(P462*P456)</f>
        <v>-23036980.794682682</v>
      </c>
      <c r="Q461" s="1354"/>
      <c r="R461" s="321"/>
      <c r="S461" s="319" t="s">
        <v>82</v>
      </c>
    </row>
    <row r="462" spans="1:19" ht="13" customHeight="1" x14ac:dyDescent="0.35">
      <c r="A462" s="235"/>
      <c r="B462" s="1338"/>
      <c r="C462" s="1346" t="s">
        <v>6245</v>
      </c>
      <c r="D462" s="1355"/>
      <c r="E462" s="385" t="s">
        <v>6237</v>
      </c>
      <c r="F462" s="1356"/>
      <c r="G462" s="1058"/>
      <c r="H462" s="1381">
        <v>0.7</v>
      </c>
      <c r="I462" s="1381">
        <f t="shared" ref="I462:P462" ca="1" si="209">OFFSET(I462,0,IF(I$5&lt;&gt;1,-1,-2))*IF(RIGHT(I$6,4)=RIGHT(OFFSET(I$6,0,IF(I$5&lt;&gt;1,-1,-2)),4),1,1+0/100)</f>
        <v>0.7</v>
      </c>
      <c r="J462" s="1381">
        <f t="shared" ca="1" si="209"/>
        <v>0.7</v>
      </c>
      <c r="K462" s="1381">
        <f t="shared" ca="1" si="209"/>
        <v>0.7</v>
      </c>
      <c r="L462" s="1381">
        <f t="shared" ca="1" si="209"/>
        <v>0.7</v>
      </c>
      <c r="M462" s="1381">
        <f t="shared" ca="1" si="209"/>
        <v>0.7</v>
      </c>
      <c r="N462" s="1381">
        <f t="shared" ca="1" si="209"/>
        <v>0.7</v>
      </c>
      <c r="O462" s="1381">
        <f t="shared" ca="1" si="209"/>
        <v>0.7</v>
      </c>
      <c r="P462" s="1381">
        <f t="shared" ca="1" si="209"/>
        <v>0.7</v>
      </c>
      <c r="Q462" s="1357"/>
      <c r="R462" s="321"/>
      <c r="S462" s="319" t="s">
        <v>82</v>
      </c>
    </row>
    <row r="463" spans="1:19" ht="11.25" hidden="1" customHeight="1" x14ac:dyDescent="0.35">
      <c r="A463" s="235"/>
      <c r="B463" s="445"/>
      <c r="C463" s="438" t="s">
        <v>825</v>
      </c>
      <c r="D463" s="1162"/>
      <c r="E463" s="324" t="s">
        <v>826</v>
      </c>
      <c r="F463" s="1025"/>
      <c r="G463" s="1026"/>
      <c r="H463" s="1025"/>
      <c r="I463" s="1025"/>
      <c r="J463" s="1025"/>
      <c r="K463" s="1025"/>
      <c r="L463" s="1025"/>
      <c r="M463" s="1025"/>
      <c r="N463" s="1025"/>
      <c r="O463" s="1025"/>
      <c r="P463" s="1025"/>
      <c r="Q463" s="1010"/>
      <c r="R463" s="321" t="str">
        <f t="shared" si="208"/>
        <v/>
      </c>
      <c r="S463" s="319" t="s">
        <v>73</v>
      </c>
    </row>
    <row r="464" spans="1:19" ht="11.25" hidden="1" customHeight="1" x14ac:dyDescent="0.35">
      <c r="A464" s="235"/>
      <c r="B464" s="445"/>
      <c r="C464" s="438" t="s">
        <v>827</v>
      </c>
      <c r="D464" s="1162"/>
      <c r="E464" s="324" t="s">
        <v>828</v>
      </c>
      <c r="F464" s="1025"/>
      <c r="G464" s="1026"/>
      <c r="H464" s="1025"/>
      <c r="I464" s="1025"/>
      <c r="J464" s="1025"/>
      <c r="K464" s="1025"/>
      <c r="L464" s="1025"/>
      <c r="M464" s="1025"/>
      <c r="N464" s="1025"/>
      <c r="O464" s="1025"/>
      <c r="P464" s="1025"/>
      <c r="Q464" s="1010"/>
      <c r="R464" s="321" t="str">
        <f t="shared" si="208"/>
        <v/>
      </c>
      <c r="S464" s="319" t="s">
        <v>73</v>
      </c>
    </row>
    <row r="465" spans="1:19" ht="11.25" hidden="1" customHeight="1" x14ac:dyDescent="0.35">
      <c r="A465" s="235"/>
      <c r="B465" s="445"/>
      <c r="C465" s="438" t="s">
        <v>829</v>
      </c>
      <c r="D465" s="1162"/>
      <c r="E465" s="324" t="s">
        <v>830</v>
      </c>
      <c r="F465" s="1025"/>
      <c r="G465" s="1026"/>
      <c r="H465" s="1025"/>
      <c r="I465" s="1025"/>
      <c r="J465" s="1025"/>
      <c r="K465" s="1025"/>
      <c r="L465" s="1025"/>
      <c r="M465" s="1025"/>
      <c r="N465" s="1025"/>
      <c r="O465" s="1025"/>
      <c r="P465" s="1025"/>
      <c r="Q465" s="1010"/>
      <c r="R465" s="321" t="str">
        <f t="shared" si="208"/>
        <v/>
      </c>
      <c r="S465" s="319" t="s">
        <v>73</v>
      </c>
    </row>
    <row r="466" spans="1:19" ht="11.25" hidden="1" customHeight="1" x14ac:dyDescent="0.35">
      <c r="A466" s="235"/>
      <c r="B466" s="445"/>
      <c r="C466" s="438"/>
      <c r="D466" s="1162"/>
      <c r="E466" s="324" t="s">
        <v>831</v>
      </c>
      <c r="F466" s="1025"/>
      <c r="G466" s="1026"/>
      <c r="H466" s="1025"/>
      <c r="I466" s="1025"/>
      <c r="J466" s="1025"/>
      <c r="K466" s="1025"/>
      <c r="L466" s="1025"/>
      <c r="M466" s="1025"/>
      <c r="N466" s="1025"/>
      <c r="O466" s="1025"/>
      <c r="P466" s="1025"/>
      <c r="Q466" s="1010"/>
      <c r="R466" s="321" t="str">
        <f t="shared" si="208"/>
        <v/>
      </c>
      <c r="S466" s="319" t="s">
        <v>145</v>
      </c>
    </row>
    <row r="467" spans="1:19" ht="11.25" hidden="1" customHeight="1" x14ac:dyDescent="0.35">
      <c r="A467" s="235"/>
      <c r="B467" s="445"/>
      <c r="C467" s="438"/>
      <c r="D467" s="1162"/>
      <c r="E467" s="324" t="s">
        <v>832</v>
      </c>
      <c r="F467" s="1025"/>
      <c r="G467" s="1026"/>
      <c r="H467" s="1025"/>
      <c r="I467" s="1025"/>
      <c r="J467" s="1025"/>
      <c r="K467" s="1025"/>
      <c r="L467" s="1025"/>
      <c r="M467" s="1025"/>
      <c r="N467" s="1025"/>
      <c r="O467" s="1025"/>
      <c r="P467" s="1025"/>
      <c r="Q467" s="1010"/>
      <c r="R467" s="321" t="str">
        <f t="shared" si="208"/>
        <v/>
      </c>
      <c r="S467" s="319" t="s">
        <v>145</v>
      </c>
    </row>
    <row r="468" spans="1:19" ht="11.25" hidden="1" customHeight="1" x14ac:dyDescent="0.35">
      <c r="A468" s="235"/>
      <c r="B468" s="445"/>
      <c r="C468" s="438"/>
      <c r="D468" s="1162"/>
      <c r="E468" s="324" t="s">
        <v>5160</v>
      </c>
      <c r="F468" s="1025"/>
      <c r="G468" s="1026"/>
      <c r="H468" s="1025"/>
      <c r="I468" s="1025"/>
      <c r="J468" s="1025"/>
      <c r="K468" s="1025"/>
      <c r="L468" s="1025"/>
      <c r="M468" s="1025"/>
      <c r="N468" s="1025"/>
      <c r="O468" s="1025"/>
      <c r="P468" s="1025"/>
      <c r="Q468" s="1010"/>
      <c r="R468" s="321" t="str">
        <f t="shared" ref="R468:R471" si="210">IF(MID(S468,7,1)="D","  ","")</f>
        <v/>
      </c>
      <c r="S468" s="319" t="s">
        <v>145</v>
      </c>
    </row>
    <row r="469" spans="1:19" ht="11.25" hidden="1" customHeight="1" x14ac:dyDescent="0.35">
      <c r="A469" s="235"/>
      <c r="B469" s="445"/>
      <c r="C469" s="438"/>
      <c r="D469" s="1162"/>
      <c r="E469" s="324" t="s">
        <v>5161</v>
      </c>
      <c r="F469" s="1025"/>
      <c r="G469" s="1026"/>
      <c r="H469" s="1025"/>
      <c r="I469" s="1025"/>
      <c r="J469" s="1025"/>
      <c r="K469" s="1025"/>
      <c r="L469" s="1025"/>
      <c r="M469" s="1025"/>
      <c r="N469" s="1025"/>
      <c r="O469" s="1025"/>
      <c r="P469" s="1025"/>
      <c r="Q469" s="1010"/>
      <c r="R469" s="321" t="str">
        <f t="shared" si="210"/>
        <v/>
      </c>
      <c r="S469" s="319" t="s">
        <v>145</v>
      </c>
    </row>
    <row r="470" spans="1:19" ht="11.25" hidden="1" customHeight="1" x14ac:dyDescent="0.35">
      <c r="A470" s="235"/>
      <c r="B470" s="445"/>
      <c r="C470" s="438"/>
      <c r="D470" s="1162"/>
      <c r="E470" s="324" t="s">
        <v>5162</v>
      </c>
      <c r="F470" s="1025"/>
      <c r="G470" s="1026"/>
      <c r="H470" s="1025"/>
      <c r="I470" s="1025"/>
      <c r="J470" s="1025"/>
      <c r="K470" s="1025"/>
      <c r="L470" s="1025"/>
      <c r="M470" s="1025"/>
      <c r="N470" s="1025"/>
      <c r="O470" s="1025"/>
      <c r="P470" s="1025"/>
      <c r="Q470" s="1010"/>
      <c r="R470" s="321" t="str">
        <f t="shared" si="210"/>
        <v/>
      </c>
      <c r="S470" s="319" t="s">
        <v>145</v>
      </c>
    </row>
    <row r="471" spans="1:19" ht="11.25" hidden="1" customHeight="1" x14ac:dyDescent="0.35">
      <c r="A471" s="235"/>
      <c r="B471" s="445"/>
      <c r="C471" s="438"/>
      <c r="D471" s="1162"/>
      <c r="E471" s="324" t="s">
        <v>5163</v>
      </c>
      <c r="F471" s="1030"/>
      <c r="G471" s="1026"/>
      <c r="H471" s="1025"/>
      <c r="I471" s="1025"/>
      <c r="J471" s="1025"/>
      <c r="K471" s="1025"/>
      <c r="L471" s="1025"/>
      <c r="M471" s="1025"/>
      <c r="N471" s="1025"/>
      <c r="O471" s="1025"/>
      <c r="P471" s="1025"/>
      <c r="Q471" s="1010"/>
      <c r="R471" s="321" t="str">
        <f t="shared" si="210"/>
        <v/>
      </c>
      <c r="S471" s="319" t="s">
        <v>145</v>
      </c>
    </row>
    <row r="472" spans="1:19" ht="11.25" customHeight="1" x14ac:dyDescent="0.35">
      <c r="A472" s="235"/>
      <c r="B472" s="441" t="s">
        <v>833</v>
      </c>
      <c r="C472" s="314"/>
      <c r="D472" s="1158"/>
      <c r="E472" s="380" t="s">
        <v>834</v>
      </c>
      <c r="F472" s="1022">
        <f ca="1">F$456+OFFSET($E$458,0,F$8)+F$459</f>
        <v>0</v>
      </c>
      <c r="G472" s="1022">
        <f ca="1">IF(OR(AND(G$5=0,NoZeroCol=1),AND(G$5=-99,NoResCol=1)),0,G$456+OFFSET($E$458,0,G$8)+G$459)</f>
        <v>0</v>
      </c>
      <c r="H472" s="1022">
        <f t="shared" ref="H472:Q472" ca="1" si="211">IF(OR(AND(H$5=0,NoZeroCol=1),AND(H$5=-99,NoResCol=1)),0,H$456+OFFSET($E$458,0,H$8)+H$459)</f>
        <v>283500</v>
      </c>
      <c r="I472" s="1022">
        <f t="shared" ca="1" si="211"/>
        <v>288335.24842194444</v>
      </c>
      <c r="J472" s="1022">
        <f t="shared" ca="1" si="211"/>
        <v>293252.9646650597</v>
      </c>
      <c r="K472" s="1022">
        <f t="shared" ca="1" si="211"/>
        <v>298254.55526339216</v>
      </c>
      <c r="L472" s="1022">
        <f t="shared" ca="1" si="211"/>
        <v>4384341.9623718653</v>
      </c>
      <c r="M472" s="1022">
        <f t="shared" ca="1" si="211"/>
        <v>5370818.9039055351</v>
      </c>
      <c r="N472" s="1022">
        <f t="shared" ca="1" si="211"/>
        <v>6579253.1572842803</v>
      </c>
      <c r="O472" s="1022">
        <f t="shared" ca="1" si="211"/>
        <v>8059585.1176732406</v>
      </c>
      <c r="P472" s="1022">
        <f t="shared" ca="1" si="211"/>
        <v>9872991.7691497207</v>
      </c>
      <c r="Q472" s="1008">
        <f t="shared" ca="1" si="211"/>
        <v>0</v>
      </c>
      <c r="R472" s="321"/>
      <c r="S472" s="319" t="s">
        <v>644</v>
      </c>
    </row>
    <row r="473" spans="1:19" ht="11.25" hidden="1" customHeight="1" x14ac:dyDescent="0.35">
      <c r="A473" s="442"/>
      <c r="B473" s="443" t="s">
        <v>5544</v>
      </c>
      <c r="C473" s="444"/>
      <c r="D473" s="1159"/>
      <c r="E473" s="324" t="s">
        <v>835</v>
      </c>
      <c r="F473" s="1023">
        <f ca="1">IF(OFFSET(F$1,0,-1)=FinMonth,F472,F472+IF(OFFSET(F$7,0,-1)=0,OFFSET(F473,0,-1),0))</f>
        <v>0</v>
      </c>
      <c r="G473" s="1024">
        <f ca="1">IF(RIGHT(OFFSET(G$6,0,-1),6)=RIGHT(G$6,6),OFFSET(G473,0,-1),0)+G472</f>
        <v>0</v>
      </c>
      <c r="H473" s="1023">
        <f t="shared" ref="H473:P473" ca="1" si="212">IF(OFFSET(H$1,0,-1)=FinMonth,H472,H472+OFFSET(H473,0,-1))</f>
        <v>283500</v>
      </c>
      <c r="I473" s="1023">
        <f t="shared" ca="1" si="212"/>
        <v>571835.24842194444</v>
      </c>
      <c r="J473" s="1023">
        <f t="shared" ca="1" si="212"/>
        <v>865088.21308700414</v>
      </c>
      <c r="K473" s="1023">
        <f t="shared" ca="1" si="212"/>
        <v>1163342.7683503963</v>
      </c>
      <c r="L473" s="1023">
        <f t="shared" ca="1" si="212"/>
        <v>4384341.9623718653</v>
      </c>
      <c r="M473" s="1023">
        <f t="shared" ca="1" si="212"/>
        <v>5370818.9039055351</v>
      </c>
      <c r="N473" s="1023">
        <f t="shared" ca="1" si="212"/>
        <v>6579253.1572842803</v>
      </c>
      <c r="O473" s="1023">
        <f t="shared" ca="1" si="212"/>
        <v>8059585.1176732406</v>
      </c>
      <c r="P473" s="1023">
        <f t="shared" ca="1" si="212"/>
        <v>9872991.7691497207</v>
      </c>
      <c r="Q473" s="1009"/>
      <c r="R473" s="381"/>
      <c r="S473" s="319" t="s">
        <v>6214</v>
      </c>
    </row>
    <row r="474" spans="1:19" ht="11.25" customHeight="1" x14ac:dyDescent="0.35">
      <c r="A474" s="442"/>
      <c r="B474" s="443" t="s">
        <v>5542</v>
      </c>
      <c r="C474" s="444"/>
      <c r="D474" s="1159"/>
      <c r="E474" s="324" t="s">
        <v>836</v>
      </c>
      <c r="F474" s="1031" t="str">
        <f ca="1">IF(F$457&lt;&gt;0,F473/F$457,"")</f>
        <v/>
      </c>
      <c r="G474" s="1031"/>
      <c r="H474" s="1031">
        <f t="shared" ref="H474:P474" ca="1" si="213">IF(H$457&lt;&gt;0,H473/H$457,"")</f>
        <v>0.3</v>
      </c>
      <c r="I474" s="1031">
        <f t="shared" ca="1" si="213"/>
        <v>0.30000000000000004</v>
      </c>
      <c r="J474" s="1031">
        <f t="shared" ca="1" si="213"/>
        <v>0.3</v>
      </c>
      <c r="K474" s="1031">
        <f t="shared" ca="1" si="213"/>
        <v>0.30000000000000004</v>
      </c>
      <c r="L474" s="1031">
        <f t="shared" ca="1" si="213"/>
        <v>0.30000000000000004</v>
      </c>
      <c r="M474" s="1031">
        <f t="shared" ca="1" si="213"/>
        <v>0.3000000000000001</v>
      </c>
      <c r="N474" s="1031">
        <f t="shared" ca="1" si="213"/>
        <v>0.30000000000000004</v>
      </c>
      <c r="O474" s="1031">
        <f t="shared" ca="1" si="213"/>
        <v>0.3</v>
      </c>
      <c r="P474" s="1031">
        <f t="shared" ca="1" si="213"/>
        <v>0.3</v>
      </c>
      <c r="Q474" s="1012"/>
      <c r="R474" s="381"/>
      <c r="S474" s="319" t="s">
        <v>148</v>
      </c>
    </row>
    <row r="475" spans="1:19" ht="11.25" hidden="1" customHeight="1" x14ac:dyDescent="0.35">
      <c r="A475" s="235"/>
      <c r="B475" s="446" t="s">
        <v>837</v>
      </c>
      <c r="C475" s="447"/>
      <c r="D475" s="1160"/>
      <c r="E475" s="420" t="s">
        <v>838</v>
      </c>
      <c r="F475" s="1027">
        <f ca="1">OFFSET($E$476,0,F$8)+OFFSET($E$477,0,F$8)+OFFSET($E$478,0,F$8)+OFFSET($E$479,0,F$8)+OFFSET($E$480,0,F$8)+OFFSET($E$481,0,F$8)+OFFSET($E$482,0,F$8)+OFFSET($E$483,0,F$8)+OFFSET($E$484,0,F$8)+OFFSET($E$485,0,F$8)</f>
        <v>0</v>
      </c>
      <c r="G475" s="1027">
        <f t="shared" ref="G475:Q475" ca="1" si="214">OFFSET($E$476,0,G$8)+OFFSET($E$477,0,G$8)+OFFSET($E$478,0,G$8)+OFFSET($E$479,0,G$8)+OFFSET($E$480,0,G$8)+OFFSET($E$481,0,G$8)+OFFSET($E$482,0,G$8)+OFFSET($E$483,0,G$8)+OFFSET($E$484,0,G$8)+OFFSET($E$485,0,G$8)</f>
        <v>0</v>
      </c>
      <c r="H475" s="1027">
        <f t="shared" ca="1" si="214"/>
        <v>-200000</v>
      </c>
      <c r="I475" s="1027">
        <f t="shared" ca="1" si="214"/>
        <v>-200000</v>
      </c>
      <c r="J475" s="1027">
        <f t="shared" ca="1" si="214"/>
        <v>-200000</v>
      </c>
      <c r="K475" s="1027">
        <f t="shared" ca="1" si="214"/>
        <v>-200000</v>
      </c>
      <c r="L475" s="1027">
        <f t="shared" ca="1" si="214"/>
        <v>-2400000</v>
      </c>
      <c r="M475" s="1027">
        <f t="shared" ca="1" si="214"/>
        <v>-2400000</v>
      </c>
      <c r="N475" s="1027">
        <f t="shared" ca="1" si="214"/>
        <v>-2400000</v>
      </c>
      <c r="O475" s="1027">
        <f t="shared" ca="1" si="214"/>
        <v>-2400000</v>
      </c>
      <c r="P475" s="1027">
        <f t="shared" ca="1" si="214"/>
        <v>-2400000</v>
      </c>
      <c r="Q475" s="579">
        <f t="shared" ca="1" si="214"/>
        <v>0</v>
      </c>
      <c r="R475" s="321"/>
      <c r="S475" s="319" t="s">
        <v>6238</v>
      </c>
    </row>
    <row r="476" spans="1:19" ht="11.25" hidden="1" customHeight="1" x14ac:dyDescent="0.35">
      <c r="A476" s="235"/>
      <c r="B476" s="445"/>
      <c r="C476" s="448" t="s">
        <v>827</v>
      </c>
      <c r="D476" s="1161"/>
      <c r="E476" s="449" t="s">
        <v>839</v>
      </c>
      <c r="F476" s="1028"/>
      <c r="G476" s="1029"/>
      <c r="H476" s="1028"/>
      <c r="I476" s="1028"/>
      <c r="J476" s="1028"/>
      <c r="K476" s="1028"/>
      <c r="L476" s="1028"/>
      <c r="M476" s="1028"/>
      <c r="N476" s="1028"/>
      <c r="O476" s="1028"/>
      <c r="P476" s="1028"/>
      <c r="Q476" s="1011"/>
      <c r="R476" s="321" t="str">
        <f t="shared" ref="R476:R486" si="215">IF(MID(S476,7,1)="D","  ","")</f>
        <v/>
      </c>
      <c r="S476" s="319" t="s">
        <v>73</v>
      </c>
    </row>
    <row r="477" spans="1:19" ht="11.25" hidden="1" customHeight="1" x14ac:dyDescent="0.35">
      <c r="A477" s="235"/>
      <c r="B477" s="445"/>
      <c r="C477" s="438" t="s">
        <v>840</v>
      </c>
      <c r="D477" s="1162"/>
      <c r="E477" s="324" t="s">
        <v>841</v>
      </c>
      <c r="F477" s="1025"/>
      <c r="G477" s="1026"/>
      <c r="H477" s="1025"/>
      <c r="I477" s="1025"/>
      <c r="J477" s="1025"/>
      <c r="K477" s="1025"/>
      <c r="L477" s="1025"/>
      <c r="M477" s="1025"/>
      <c r="N477" s="1025"/>
      <c r="O477" s="1025"/>
      <c r="P477" s="1025"/>
      <c r="Q477" s="1010"/>
      <c r="R477" s="321" t="str">
        <f t="shared" si="215"/>
        <v/>
      </c>
      <c r="S477" s="319" t="s">
        <v>73</v>
      </c>
    </row>
    <row r="478" spans="1:19" ht="11.25" customHeight="1" x14ac:dyDescent="0.35">
      <c r="A478" s="235"/>
      <c r="B478" s="445"/>
      <c r="C478" s="438" t="s">
        <v>842</v>
      </c>
      <c r="D478" s="1162"/>
      <c r="E478" s="324" t="s">
        <v>843</v>
      </c>
      <c r="F478" s="1025"/>
      <c r="G478" s="1026"/>
      <c r="H478" s="1025">
        <v>-200000</v>
      </c>
      <c r="I478" s="1025">
        <f ca="1">OFFSET(I478,0,IF(I$5&lt;&gt;1,-1,-2))*IF(OFFSET(I$12,0,IF(I$5&lt;&gt;1,-1,-2))&lt;&gt;0,I$12/OFFSET(I$12,0,IF(I$5&lt;&gt;1,-1,-2)),1)*IF(RIGHT(I$6,4)=RIGHT(OFFSET(I$6,0,IF(I$5&lt;&gt;1,-1,-2)),4),1,1+0/100)</f>
        <v>-200000</v>
      </c>
      <c r="J478" s="1025">
        <f ca="1">OFFSET(J478,0,IF(J$5&lt;&gt;1,-1,-2))*IF(OFFSET(J$12,0,IF(J$5&lt;&gt;1,-1,-2))&lt;&gt;0,J$12/OFFSET(J$12,0,IF(J$5&lt;&gt;1,-1,-2)),1)*IF(RIGHT(J$6,4)=RIGHT(OFFSET(J$6,0,IF(J$5&lt;&gt;1,-1,-2)),4),1,1+0/100)</f>
        <v>-200000</v>
      </c>
      <c r="K478" s="1025">
        <f ca="1">OFFSET(K478,0,IF(K$5&lt;&gt;1,-1,-2))*IF(OFFSET(K$12,0,IF(K$5&lt;&gt;1,-1,-2))&lt;&gt;0,K$12/OFFSET(K$12,0,IF(K$5&lt;&gt;1,-1,-2)),1)*IF(RIGHT(K$6,4)=RIGHT(OFFSET(K$6,0,IF(K$5&lt;&gt;1,-1,-2)),4),1,1+0/100)</f>
        <v>-200000</v>
      </c>
      <c r="L478" s="1025">
        <f ca="1">OFFSET(L478,0,IF(L$5&lt;&gt;1,-1,-2))*IF(OFFSET(L$12,0,IF(L$5&lt;&gt;1,-1,-2))&lt;&gt;0,L$12/OFFSET(L$12,0,IF(L$5&lt;&gt;1,-1,-2)),1)*IF(RIGHT(L$6,4)=RIGHT(OFFSET(L$6,0,IF(L$5&lt;&gt;1,-1,-2)),4),1,1+0/100)</f>
        <v>-2400000</v>
      </c>
      <c r="M478" s="1025">
        <f ca="1">OFFSET(M478,0,IF(M$5&lt;&gt;1,-1,-2))*IF(OFFSET(M$12,0,IF(M$5&lt;&gt;1,-1,-2))&lt;&gt;0,M$12/OFFSET(M$12,0,IF(M$5&lt;&gt;1,-1,-2)),1)*IF(RIGHT(M$6,4)=RIGHT(OFFSET(M$6,0,IF(M$5&lt;&gt;1,-1,-2)),4),1,1+0/100)</f>
        <v>-2400000</v>
      </c>
      <c r="N478" s="1025">
        <f ca="1">OFFSET(N478,0,IF(N$5&lt;&gt;1,-1,-2))*IF(OFFSET(N$12,0,IF(N$5&lt;&gt;1,-1,-2))&lt;&gt;0,N$12/OFFSET(N$12,0,IF(N$5&lt;&gt;1,-1,-2)),1)*IF(RIGHT(N$6,4)=RIGHT(OFFSET(N$6,0,IF(N$5&lt;&gt;1,-1,-2)),4),1,1+0/100)</f>
        <v>-2400000</v>
      </c>
      <c r="O478" s="1025">
        <f ca="1">OFFSET(O478,0,IF(O$5&lt;&gt;1,-1,-2))*IF(OFFSET(O$12,0,IF(O$5&lt;&gt;1,-1,-2))&lt;&gt;0,O$12/OFFSET(O$12,0,IF(O$5&lt;&gt;1,-1,-2)),1)*IF(RIGHT(O$6,4)=RIGHT(OFFSET(O$6,0,IF(O$5&lt;&gt;1,-1,-2)),4),1,1+0/100)</f>
        <v>-2400000</v>
      </c>
      <c r="P478" s="1025">
        <f ca="1">OFFSET(P478,0,IF(P$5&lt;&gt;1,-1,-2))*IF(OFFSET(P$12,0,IF(P$5&lt;&gt;1,-1,-2))&lt;&gt;0,P$12/OFFSET(P$12,0,IF(P$5&lt;&gt;1,-1,-2)),1)*IF(RIGHT(P$6,4)=RIGHT(OFFSET(P$6,0,IF(P$5&lt;&gt;1,-1,-2)),4),1,1+0/100)</f>
        <v>-2400000</v>
      </c>
      <c r="Q478" s="1010"/>
      <c r="R478" s="321" t="str">
        <f t="shared" si="215"/>
        <v/>
      </c>
      <c r="S478" s="319" t="s">
        <v>71</v>
      </c>
    </row>
    <row r="479" spans="1:19" ht="11.25" hidden="1" customHeight="1" x14ac:dyDescent="0.35">
      <c r="A479" s="235"/>
      <c r="B479" s="445"/>
      <c r="C479" s="438"/>
      <c r="D479" s="1162"/>
      <c r="E479" s="324" t="s">
        <v>844</v>
      </c>
      <c r="F479" s="1025"/>
      <c r="G479" s="1026"/>
      <c r="H479" s="1025"/>
      <c r="I479" s="1025"/>
      <c r="J479" s="1025"/>
      <c r="K479" s="1025"/>
      <c r="L479" s="1025"/>
      <c r="M479" s="1025"/>
      <c r="N479" s="1025"/>
      <c r="O479" s="1025"/>
      <c r="P479" s="1025"/>
      <c r="Q479" s="1010"/>
      <c r="R479" s="321" t="str">
        <f t="shared" si="215"/>
        <v/>
      </c>
      <c r="S479" s="319" t="s">
        <v>73</v>
      </c>
    </row>
    <row r="480" spans="1:19" ht="11.25" hidden="1" customHeight="1" x14ac:dyDescent="0.35">
      <c r="A480" s="235"/>
      <c r="B480" s="445"/>
      <c r="C480" s="438"/>
      <c r="D480" s="1162"/>
      <c r="E480" s="324" t="s">
        <v>845</v>
      </c>
      <c r="F480" s="1025"/>
      <c r="G480" s="1026"/>
      <c r="H480" s="1025"/>
      <c r="I480" s="1025"/>
      <c r="J480" s="1025"/>
      <c r="K480" s="1025"/>
      <c r="L480" s="1025"/>
      <c r="M480" s="1025"/>
      <c r="N480" s="1025"/>
      <c r="O480" s="1025"/>
      <c r="P480" s="1025"/>
      <c r="Q480" s="1010"/>
      <c r="R480" s="321" t="str">
        <f t="shared" si="215"/>
        <v/>
      </c>
      <c r="S480" s="319" t="s">
        <v>145</v>
      </c>
    </row>
    <row r="481" spans="1:19" ht="11.25" hidden="1" customHeight="1" x14ac:dyDescent="0.35">
      <c r="A481" s="235"/>
      <c r="B481" s="445"/>
      <c r="C481" s="438"/>
      <c r="D481" s="1162"/>
      <c r="E481" s="324" t="s">
        <v>846</v>
      </c>
      <c r="F481" s="1025"/>
      <c r="G481" s="1026"/>
      <c r="H481" s="1025"/>
      <c r="I481" s="1025"/>
      <c r="J481" s="1025"/>
      <c r="K481" s="1025"/>
      <c r="L481" s="1025"/>
      <c r="M481" s="1025"/>
      <c r="N481" s="1025"/>
      <c r="O481" s="1025"/>
      <c r="P481" s="1025"/>
      <c r="Q481" s="1010"/>
      <c r="R481" s="321" t="str">
        <f t="shared" si="215"/>
        <v/>
      </c>
      <c r="S481" s="319" t="s">
        <v>145</v>
      </c>
    </row>
    <row r="482" spans="1:19" ht="11.25" hidden="1" customHeight="1" x14ac:dyDescent="0.35">
      <c r="A482" s="235"/>
      <c r="B482" s="445"/>
      <c r="C482" s="438"/>
      <c r="D482" s="1162"/>
      <c r="E482" s="324" t="s">
        <v>5164</v>
      </c>
      <c r="F482" s="1025"/>
      <c r="G482" s="1026"/>
      <c r="H482" s="1025"/>
      <c r="I482" s="1025"/>
      <c r="J482" s="1025"/>
      <c r="K482" s="1025"/>
      <c r="L482" s="1025"/>
      <c r="M482" s="1025"/>
      <c r="N482" s="1025"/>
      <c r="O482" s="1025"/>
      <c r="P482" s="1025"/>
      <c r="Q482" s="1010"/>
      <c r="R482" s="321" t="str">
        <f t="shared" ref="R482:R485" si="216">IF(MID(S482,7,1)="D","  ","")</f>
        <v/>
      </c>
      <c r="S482" s="319" t="s">
        <v>145</v>
      </c>
    </row>
    <row r="483" spans="1:19" ht="11.25" hidden="1" customHeight="1" x14ac:dyDescent="0.35">
      <c r="A483" s="235"/>
      <c r="B483" s="445"/>
      <c r="C483" s="438"/>
      <c r="D483" s="1162"/>
      <c r="E483" s="324" t="s">
        <v>5165</v>
      </c>
      <c r="F483" s="1025"/>
      <c r="G483" s="1026"/>
      <c r="H483" s="1025"/>
      <c r="I483" s="1025"/>
      <c r="J483" s="1025"/>
      <c r="K483" s="1025"/>
      <c r="L483" s="1025"/>
      <c r="M483" s="1025"/>
      <c r="N483" s="1025"/>
      <c r="O483" s="1025"/>
      <c r="P483" s="1025"/>
      <c r="Q483" s="1010"/>
      <c r="R483" s="321" t="str">
        <f t="shared" si="216"/>
        <v/>
      </c>
      <c r="S483" s="319" t="s">
        <v>145</v>
      </c>
    </row>
    <row r="484" spans="1:19" ht="11.25" hidden="1" customHeight="1" x14ac:dyDescent="0.35">
      <c r="A484" s="235"/>
      <c r="B484" s="445"/>
      <c r="C484" s="438"/>
      <c r="D484" s="1162"/>
      <c r="E484" s="324" t="s">
        <v>5166</v>
      </c>
      <c r="F484" s="1025"/>
      <c r="G484" s="1026"/>
      <c r="H484" s="1025"/>
      <c r="I484" s="1025"/>
      <c r="J484" s="1025"/>
      <c r="K484" s="1025"/>
      <c r="L484" s="1025"/>
      <c r="M484" s="1025"/>
      <c r="N484" s="1025"/>
      <c r="O484" s="1025"/>
      <c r="P484" s="1025"/>
      <c r="Q484" s="1010"/>
      <c r="R484" s="321" t="str">
        <f t="shared" si="216"/>
        <v/>
      </c>
      <c r="S484" s="319" t="s">
        <v>145</v>
      </c>
    </row>
    <row r="485" spans="1:19" ht="11.25" hidden="1" customHeight="1" x14ac:dyDescent="0.35">
      <c r="A485" s="235"/>
      <c r="B485" s="446"/>
      <c r="C485" s="450"/>
      <c r="D485" s="1163"/>
      <c r="E485" s="324" t="s">
        <v>5167</v>
      </c>
      <c r="F485" s="1032"/>
      <c r="G485" s="1027"/>
      <c r="H485" s="1032"/>
      <c r="I485" s="1032"/>
      <c r="J485" s="1032"/>
      <c r="K485" s="1032"/>
      <c r="L485" s="1032"/>
      <c r="M485" s="1032"/>
      <c r="N485" s="1032"/>
      <c r="O485" s="1032"/>
      <c r="P485" s="1032"/>
      <c r="Q485" s="1013"/>
      <c r="R485" s="321" t="str">
        <f t="shared" si="216"/>
        <v/>
      </c>
      <c r="S485" s="319" t="s">
        <v>145</v>
      </c>
    </row>
    <row r="486" spans="1:19" ht="11.25" hidden="1" customHeight="1" x14ac:dyDescent="0.35">
      <c r="A486" s="235"/>
      <c r="B486" s="445" t="s">
        <v>847</v>
      </c>
      <c r="C486" s="451"/>
      <c r="D486" s="1118"/>
      <c r="E486" s="324" t="s">
        <v>848</v>
      </c>
      <c r="F486" s="1025"/>
      <c r="G486" s="1025"/>
      <c r="H486" s="1025"/>
      <c r="I486" s="1025"/>
      <c r="J486" s="1025"/>
      <c r="K486" s="1025"/>
      <c r="L486" s="1025"/>
      <c r="M486" s="1025"/>
      <c r="N486" s="1025"/>
      <c r="O486" s="1025"/>
      <c r="P486" s="1025"/>
      <c r="Q486" s="1010"/>
      <c r="R486" s="321" t="str">
        <f t="shared" si="215"/>
        <v/>
      </c>
      <c r="S486" s="319" t="s">
        <v>145</v>
      </c>
    </row>
    <row r="487" spans="1:19" ht="11.25" hidden="1" customHeight="1" x14ac:dyDescent="0.35">
      <c r="A487" s="235"/>
      <c r="B487" s="445" t="s">
        <v>5607</v>
      </c>
      <c r="C487" s="451"/>
      <c r="D487" s="1118"/>
      <c r="E487" s="1251" t="s">
        <v>5608</v>
      </c>
      <c r="F487" s="1025"/>
      <c r="G487" s="1025"/>
      <c r="H487" s="1025"/>
      <c r="I487" s="1025"/>
      <c r="J487" s="1025"/>
      <c r="K487" s="1025"/>
      <c r="L487" s="1025"/>
      <c r="M487" s="1025"/>
      <c r="N487" s="1025"/>
      <c r="O487" s="1025"/>
      <c r="P487" s="1025"/>
      <c r="Q487" s="1010"/>
      <c r="R487" s="321"/>
      <c r="S487" s="319" t="s">
        <v>145</v>
      </c>
    </row>
    <row r="488" spans="1:19" ht="12.75" customHeight="1" x14ac:dyDescent="0.35">
      <c r="A488" s="331">
        <f ca="1">(SUM($G$488:OFFSET($Q$488,0,-1))/SUM($G$17:OFFSET($Q$17,0,-1)))*12</f>
        <v>4243187.5647628196</v>
      </c>
      <c r="B488" s="441" t="s">
        <v>849</v>
      </c>
      <c r="C488" s="314"/>
      <c r="D488" s="1164"/>
      <c r="E488" s="380" t="s">
        <v>850</v>
      </c>
      <c r="F488" s="1022">
        <f ca="1">F$472+F$475+OFFSET($E$486,0,F$8)+OFFSET($E$487,0,F$8)</f>
        <v>0</v>
      </c>
      <c r="G488" s="1022">
        <f ca="1">IF(AND(G$5=0,NoZeroCol=1),0,G$472+G$475+OFFSET($E$486,0,G$8)+OFFSET($E$487,0,G$8))</f>
        <v>0</v>
      </c>
      <c r="H488" s="1022">
        <f t="shared" ref="H488:P488" ca="1" si="217">H$472+H$475+OFFSET($E$486,0,H$8)+OFFSET($E$487,0,H$8)</f>
        <v>83500</v>
      </c>
      <c r="I488" s="1022">
        <f t="shared" ca="1" si="217"/>
        <v>88335.248421944445</v>
      </c>
      <c r="J488" s="1022">
        <f t="shared" ca="1" si="217"/>
        <v>93252.964665059699</v>
      </c>
      <c r="K488" s="1022">
        <f t="shared" ca="1" si="217"/>
        <v>98254.555263392162</v>
      </c>
      <c r="L488" s="1022">
        <f t="shared" ca="1" si="217"/>
        <v>1984341.9623718653</v>
      </c>
      <c r="M488" s="1022">
        <f t="shared" ca="1" si="217"/>
        <v>2970818.9039055351</v>
      </c>
      <c r="N488" s="1022">
        <f t="shared" ca="1" si="217"/>
        <v>4179253.1572842803</v>
      </c>
      <c r="O488" s="1022">
        <f t="shared" ca="1" si="217"/>
        <v>5659585.1176732406</v>
      </c>
      <c r="P488" s="1022">
        <f t="shared" ca="1" si="217"/>
        <v>7472991.7691497207</v>
      </c>
      <c r="Q488" s="1008">
        <f ca="1">IF(AND(Q$5=-99,NoResCol=1),0,Q$472+Q$475+OFFSET($E$486,0,Q$8)+OFFSET($E$487,0,Q$8))</f>
        <v>0</v>
      </c>
      <c r="R488" s="321"/>
      <c r="S488" s="319" t="s">
        <v>644</v>
      </c>
    </row>
    <row r="489" spans="1:19" ht="12.75" hidden="1" customHeight="1" x14ac:dyDescent="0.35">
      <c r="A489" s="442"/>
      <c r="B489" s="443" t="s">
        <v>5544</v>
      </c>
      <c r="C489" s="444"/>
      <c r="D489" s="1165"/>
      <c r="E489" s="324" t="s">
        <v>851</v>
      </c>
      <c r="F489" s="1023">
        <f ca="1">IF(OFFSET(F$1,0,-1)=FinMonth,F488,F488+IF(OFFSET(F$7,0,-1)=0,OFFSET(F489,0,-1),0))</f>
        <v>0</v>
      </c>
      <c r="G489" s="1024">
        <f ca="1">IF(RIGHT(OFFSET(G$6,0,-1),6)=RIGHT(G$6,6),OFFSET(G489,0,-1),0)+G488</f>
        <v>0</v>
      </c>
      <c r="H489" s="1023">
        <f t="shared" ref="H489:P489" ca="1" si="218">IF(OFFSET(H$1,0,-1)=FinMonth,H488,H488+OFFSET(H489,0,-1))</f>
        <v>83500</v>
      </c>
      <c r="I489" s="1023">
        <f t="shared" ca="1" si="218"/>
        <v>171835.24842194444</v>
      </c>
      <c r="J489" s="1023">
        <f t="shared" ca="1" si="218"/>
        <v>265088.21308700414</v>
      </c>
      <c r="K489" s="1023">
        <f t="shared" ca="1" si="218"/>
        <v>363342.76835039631</v>
      </c>
      <c r="L489" s="1023">
        <f t="shared" ca="1" si="218"/>
        <v>1984341.9623718653</v>
      </c>
      <c r="M489" s="1023">
        <f t="shared" ca="1" si="218"/>
        <v>2970818.9039055351</v>
      </c>
      <c r="N489" s="1023">
        <f t="shared" ca="1" si="218"/>
        <v>4179253.1572842803</v>
      </c>
      <c r="O489" s="1023">
        <f t="shared" ca="1" si="218"/>
        <v>5659585.1176732406</v>
      </c>
      <c r="P489" s="1023">
        <f t="shared" ca="1" si="218"/>
        <v>7472991.7691497207</v>
      </c>
      <c r="Q489" s="1009"/>
      <c r="R489" s="381"/>
      <c r="S489" s="319" t="s">
        <v>6214</v>
      </c>
    </row>
    <row r="490" spans="1:19" ht="11.25" hidden="1" customHeight="1" x14ac:dyDescent="0.35">
      <c r="A490" s="442"/>
      <c r="B490" s="443" t="s">
        <v>5339</v>
      </c>
      <c r="C490" s="444"/>
      <c r="D490" s="1159"/>
      <c r="E490" s="324" t="s">
        <v>852</v>
      </c>
      <c r="F490" s="1031" t="str">
        <f ca="1">IF(F$457&lt;&gt;0,F489/F$457,"")</f>
        <v/>
      </c>
      <c r="G490" s="1031"/>
      <c r="H490" s="1031">
        <f t="shared" ref="H490:P490" ca="1" si="219">IF(H$457&lt;&gt;0,H489/H$457,"")</f>
        <v>8.835978835978836E-2</v>
      </c>
      <c r="I490" s="1031">
        <f t="shared" ca="1" si="219"/>
        <v>9.0149347506723335E-2</v>
      </c>
      <c r="J490" s="1031">
        <f t="shared" ca="1" si="219"/>
        <v>9.1928733651701094E-2</v>
      </c>
      <c r="K490" s="1031">
        <f t="shared" ca="1" si="219"/>
        <v>9.3697948249322413E-2</v>
      </c>
      <c r="L490" s="1031">
        <f t="shared" ca="1" si="219"/>
        <v>0.1357792329660138</v>
      </c>
      <c r="M490" s="1031">
        <f t="shared" ca="1" si="219"/>
        <v>0.16594223099266436</v>
      </c>
      <c r="N490" s="1031">
        <f t="shared" ca="1" si="219"/>
        <v>0.19056508652462398</v>
      </c>
      <c r="O490" s="1031">
        <f t="shared" ca="1" si="219"/>
        <v>0.21066537675479502</v>
      </c>
      <c r="P490" s="1031">
        <f t="shared" ca="1" si="219"/>
        <v>0.22707377694268982</v>
      </c>
      <c r="Q490" s="1012"/>
      <c r="R490" s="381"/>
      <c r="S490" s="319" t="s">
        <v>145</v>
      </c>
    </row>
    <row r="491" spans="1:19" ht="11.25" customHeight="1" x14ac:dyDescent="0.35">
      <c r="A491" s="235"/>
      <c r="B491" s="445" t="s">
        <v>647</v>
      </c>
      <c r="C491" s="434"/>
      <c r="D491" s="1118"/>
      <c r="E491" s="324" t="s">
        <v>853</v>
      </c>
      <c r="F491" s="1033"/>
      <c r="G491" s="971">
        <f t="shared" ref="G491:Q491" ca="1" si="220">OFFSET($E$492,0,G$8)+OFFSET($E$493,0,G$8)</f>
        <v>0</v>
      </c>
      <c r="H491" s="971">
        <f t="shared" ca="1" si="220"/>
        <v>-1666.6666666666699</v>
      </c>
      <c r="I491" s="971">
        <f t="shared" ca="1" si="220"/>
        <v>-24166.666666666639</v>
      </c>
      <c r="J491" s="971">
        <f t="shared" ca="1" si="220"/>
        <v>-25333.33333333331</v>
      </c>
      <c r="K491" s="971">
        <f t="shared" ca="1" si="220"/>
        <v>-26499.999999999978</v>
      </c>
      <c r="L491" s="971">
        <f t="shared" ca="1" si="220"/>
        <v>-302375</v>
      </c>
      <c r="M491" s="971">
        <f t="shared" ca="1" si="220"/>
        <v>-266281.25</v>
      </c>
      <c r="N491" s="971">
        <f t="shared" ca="1" si="220"/>
        <v>-222335.9375</v>
      </c>
      <c r="O491" s="971">
        <f t="shared" ca="1" si="220"/>
        <v>-200626.953125</v>
      </c>
      <c r="P491" s="971">
        <f t="shared" ca="1" si="220"/>
        <v>-175907.71484375</v>
      </c>
      <c r="Q491" s="1014">
        <f t="shared" ca="1" si="220"/>
        <v>0</v>
      </c>
      <c r="R491" s="321"/>
      <c r="S491" s="319" t="s">
        <v>644</v>
      </c>
    </row>
    <row r="492" spans="1:19" ht="11.25" hidden="1" customHeight="1" x14ac:dyDescent="0.35">
      <c r="A492" s="235"/>
      <c r="B492" s="437"/>
      <c r="C492" s="452" t="s">
        <v>854</v>
      </c>
      <c r="D492" s="1166"/>
      <c r="E492" s="324" t="s">
        <v>855</v>
      </c>
      <c r="F492" s="1034"/>
      <c r="G492" s="1026">
        <f ca="1">OFFSET($E$729,0,G$8)+G$1233</f>
        <v>0</v>
      </c>
      <c r="H492" s="1026">
        <f t="shared" ref="H492:Q492" ca="1" si="221">OFFSET($E$729,0,H$8)+H$1233</f>
        <v>0</v>
      </c>
      <c r="I492" s="1026">
        <f t="shared" ca="1" si="221"/>
        <v>0</v>
      </c>
      <c r="J492" s="1026">
        <f t="shared" ca="1" si="221"/>
        <v>0</v>
      </c>
      <c r="K492" s="1026">
        <f t="shared" ca="1" si="221"/>
        <v>0</v>
      </c>
      <c r="L492" s="1026">
        <f t="shared" ca="1" si="221"/>
        <v>0</v>
      </c>
      <c r="M492" s="1026">
        <f t="shared" ca="1" si="221"/>
        <v>0</v>
      </c>
      <c r="N492" s="1026">
        <f t="shared" ca="1" si="221"/>
        <v>0</v>
      </c>
      <c r="O492" s="1026">
        <f t="shared" ca="1" si="221"/>
        <v>0</v>
      </c>
      <c r="P492" s="1026">
        <f t="shared" ca="1" si="221"/>
        <v>0</v>
      </c>
      <c r="Q492" s="512">
        <f t="shared" ca="1" si="221"/>
        <v>0</v>
      </c>
      <c r="R492" s="321"/>
      <c r="S492" s="319" t="s">
        <v>40</v>
      </c>
    </row>
    <row r="493" spans="1:19" ht="11.25" hidden="1" customHeight="1" x14ac:dyDescent="0.35">
      <c r="A493" s="235"/>
      <c r="B493" s="437"/>
      <c r="C493" s="452" t="s">
        <v>856</v>
      </c>
      <c r="D493" s="1166"/>
      <c r="E493" s="324" t="s">
        <v>857</v>
      </c>
      <c r="F493" s="1034"/>
      <c r="G493" s="1026">
        <f ca="1">IF(OR(AND(G$5=0,NoZeroCol=1),AND(G$5=-99,NoResCol=1)),0,IF(CalculatedDepreciation,G$325,G$320)+G$1139+G$1140)+IF(InvFileType=2,G$1023,0)-G492</f>
        <v>0</v>
      </c>
      <c r="H493" s="1026">
        <f t="shared" ref="H493:Q493" ca="1" si="222">IF(OR(AND(H$5=0,NoZeroCol=1),AND(H$5=-99,NoResCol=1)),0,IF(CalculatedDepreciation,H$325,H$320)+H$1139+H$1140)+IF(InvFileType=2,H$1023,0)-H492</f>
        <v>-1666.6666666666699</v>
      </c>
      <c r="I493" s="1026">
        <f t="shared" ca="1" si="222"/>
        <v>-24166.666666666639</v>
      </c>
      <c r="J493" s="1026">
        <f t="shared" ca="1" si="222"/>
        <v>-25333.33333333331</v>
      </c>
      <c r="K493" s="1026">
        <f t="shared" ca="1" si="222"/>
        <v>-26499.999999999978</v>
      </c>
      <c r="L493" s="1026">
        <f t="shared" ca="1" si="222"/>
        <v>-302375</v>
      </c>
      <c r="M493" s="1026">
        <f t="shared" ref="M493:N493" ca="1" si="223">IF(OR(AND(M$5=0,NoZeroCol=1),AND(M$5=-99,NoResCol=1)),0,IF(CalculatedDepreciation,M$325,M$320)+M$1139+M$1140)+IF(InvFileType=2,M$1023,0)-M492</f>
        <v>-266281.25</v>
      </c>
      <c r="N493" s="1026">
        <f t="shared" ca="1" si="223"/>
        <v>-222335.9375</v>
      </c>
      <c r="O493" s="1026">
        <f t="shared" ref="O493:P493" ca="1" si="224">IF(OR(AND(O$5=0,NoZeroCol=1),AND(O$5=-99,NoResCol=1)),0,IF(CalculatedDepreciation,O$325,O$320)+O$1139+O$1140)+IF(InvFileType=2,O$1023,0)-O492</f>
        <v>-200626.953125</v>
      </c>
      <c r="P493" s="1026">
        <f t="shared" ca="1" si="224"/>
        <v>-175907.71484375</v>
      </c>
      <c r="Q493" s="512">
        <f t="shared" ca="1" si="222"/>
        <v>0</v>
      </c>
      <c r="R493" s="321"/>
      <c r="S493" s="319" t="s">
        <v>40</v>
      </c>
    </row>
    <row r="494" spans="1:19" ht="11.25" customHeight="1" x14ac:dyDescent="0.35">
      <c r="A494" s="235"/>
      <c r="B494" s="441" t="s">
        <v>858</v>
      </c>
      <c r="C494" s="314"/>
      <c r="D494" s="1158"/>
      <c r="E494" s="380" t="s">
        <v>859</v>
      </c>
      <c r="F494" s="1022">
        <f t="shared" ref="F494:Q494" ca="1" si="225">IF(OR(AND(F$5=0,NoZeroCol=1),AND(F$5=-99,NoResCol=1)),0,F488+OFFSET($E$491,0,F$8))</f>
        <v>0</v>
      </c>
      <c r="G494" s="1022">
        <f t="shared" ca="1" si="225"/>
        <v>0</v>
      </c>
      <c r="H494" s="1022">
        <f t="shared" ca="1" si="225"/>
        <v>81833.333333333328</v>
      </c>
      <c r="I494" s="1022">
        <f t="shared" ca="1" si="225"/>
        <v>64168.581755277803</v>
      </c>
      <c r="J494" s="1022">
        <f t="shared" ca="1" si="225"/>
        <v>67919.631331726385</v>
      </c>
      <c r="K494" s="1022">
        <f t="shared" ca="1" si="225"/>
        <v>71754.555263392191</v>
      </c>
      <c r="L494" s="1022">
        <f t="shared" ca="1" si="225"/>
        <v>1681966.9623718653</v>
      </c>
      <c r="M494" s="1022">
        <f t="shared" ref="M494:N494" ca="1" si="226">IF(OR(AND(M$5=0,NoZeroCol=1),AND(M$5=-99,NoResCol=1)),0,M488+OFFSET($E$491,0,M$8))</f>
        <v>2704537.6539055351</v>
      </c>
      <c r="N494" s="1022">
        <f t="shared" ca="1" si="226"/>
        <v>3956917.2197842803</v>
      </c>
      <c r="O494" s="1022">
        <f t="shared" ref="O494:P494" ca="1" si="227">IF(OR(AND(O$5=0,NoZeroCol=1),AND(O$5=-99,NoResCol=1)),0,O488+OFFSET($E$491,0,O$8))</f>
        <v>5458958.1645482406</v>
      </c>
      <c r="P494" s="1022">
        <f t="shared" ca="1" si="227"/>
        <v>7297084.0543059707</v>
      </c>
      <c r="Q494" s="1008">
        <f t="shared" ca="1" si="225"/>
        <v>0</v>
      </c>
      <c r="R494" s="321"/>
      <c r="S494" s="319" t="s">
        <v>644</v>
      </c>
    </row>
    <row r="495" spans="1:19" ht="11.25" hidden="1" customHeight="1" x14ac:dyDescent="0.35">
      <c r="A495" s="453"/>
      <c r="B495" s="443" t="s">
        <v>5544</v>
      </c>
      <c r="C495" s="444"/>
      <c r="D495" s="1167"/>
      <c r="E495" s="324" t="s">
        <v>860</v>
      </c>
      <c r="F495" s="1023">
        <f ca="1">IF(OFFSET(F$1,0,-1)=FinMonth,F494,F494+IF(OFFSET(F$7,0,-1)=0,OFFSET(F495,0,-1),0))</f>
        <v>0</v>
      </c>
      <c r="G495" s="1035">
        <f ca="1">IF(RIGHT(OFFSET(G$6,0,-1),6)=RIGHT(G$6,6),OFFSET(G495,0,-1),0)+G494</f>
        <v>0</v>
      </c>
      <c r="H495" s="1023">
        <f t="shared" ref="H495:P495" ca="1" si="228">IF(OFFSET(H$1,0,-1)=FinMonth,H494,H494+OFFSET(H495,0,-1))</f>
        <v>81833.333333333328</v>
      </c>
      <c r="I495" s="1023">
        <f t="shared" ca="1" si="228"/>
        <v>146001.91508861113</v>
      </c>
      <c r="J495" s="1023">
        <f t="shared" ca="1" si="228"/>
        <v>213921.54642033752</v>
      </c>
      <c r="K495" s="1023">
        <f t="shared" ca="1" si="228"/>
        <v>285676.10168372968</v>
      </c>
      <c r="L495" s="1023">
        <f t="shared" ca="1" si="228"/>
        <v>1681966.9623718653</v>
      </c>
      <c r="M495" s="1023">
        <f t="shared" ca="1" si="228"/>
        <v>2704537.6539055351</v>
      </c>
      <c r="N495" s="1023">
        <f t="shared" ca="1" si="228"/>
        <v>3956917.2197842803</v>
      </c>
      <c r="O495" s="1023">
        <f t="shared" ca="1" si="228"/>
        <v>5458958.1645482406</v>
      </c>
      <c r="P495" s="1023">
        <f t="shared" ca="1" si="228"/>
        <v>7297084.0543059707</v>
      </c>
      <c r="Q495" s="1009"/>
      <c r="R495" s="321"/>
      <c r="S495" s="319" t="s">
        <v>6214</v>
      </c>
    </row>
    <row r="496" spans="1:19" ht="11.25" hidden="1" customHeight="1" x14ac:dyDescent="0.35">
      <c r="A496" s="453"/>
      <c r="B496" s="443" t="s">
        <v>5338</v>
      </c>
      <c r="C496" s="454"/>
      <c r="D496" s="1167"/>
      <c r="E496" s="324" t="s">
        <v>861</v>
      </c>
      <c r="F496" s="1031" t="str">
        <f ca="1">IF(F$457&lt;&gt;0,F495/F$457,"")</f>
        <v/>
      </c>
      <c r="G496" s="1035"/>
      <c r="H496" s="1031">
        <f t="shared" ref="H496:P496" ca="1" si="229">IF(H$457&lt;&gt;0,H495/H$457,"")</f>
        <v>8.6596119929453264E-2</v>
      </c>
      <c r="I496" s="1031">
        <f t="shared" ca="1" si="229"/>
        <v>7.6596492866532556E-2</v>
      </c>
      <c r="J496" s="1031">
        <f t="shared" ca="1" si="229"/>
        <v>7.4184878438110058E-2</v>
      </c>
      <c r="K496" s="1031">
        <f t="shared" ca="1" si="229"/>
        <v>7.3669457391860801E-2</v>
      </c>
      <c r="L496" s="1031">
        <f t="shared" ca="1" si="229"/>
        <v>0.11508912695272148</v>
      </c>
      <c r="M496" s="1031">
        <f t="shared" ca="1" si="229"/>
        <v>0.15106845169954577</v>
      </c>
      <c r="N496" s="1031">
        <f t="shared" ca="1" si="229"/>
        <v>0.18042703899013265</v>
      </c>
      <c r="O496" s="1031">
        <f t="shared" ca="1" si="229"/>
        <v>0.20319748789218864</v>
      </c>
      <c r="P496" s="1031">
        <f t="shared" ca="1" si="229"/>
        <v>0.22172865808844106</v>
      </c>
      <c r="Q496" s="1012"/>
      <c r="R496" s="321"/>
      <c r="S496" s="319" t="s">
        <v>145</v>
      </c>
    </row>
    <row r="497" spans="1:19" ht="11.25" customHeight="1" x14ac:dyDescent="0.35">
      <c r="A497" s="235"/>
      <c r="B497" s="446" t="s">
        <v>862</v>
      </c>
      <c r="C497" s="447"/>
      <c r="D497" s="1160"/>
      <c r="E497" s="420" t="s">
        <v>863</v>
      </c>
      <c r="F497" s="1027">
        <f t="shared" ref="F497:Q497" ca="1" si="230">IF(OR(AND(F$5=0,NoZeroCol=1),AND(F$5=-99,NoResCol=1)),0,OFFSET($E$498,0,F$8)+F499)</f>
        <v>0</v>
      </c>
      <c r="G497" s="1027">
        <f t="shared" ca="1" si="230"/>
        <v>0</v>
      </c>
      <c r="H497" s="1027">
        <f t="shared" ca="1" si="230"/>
        <v>0</v>
      </c>
      <c r="I497" s="1027">
        <f t="shared" ca="1" si="230"/>
        <v>0</v>
      </c>
      <c r="J497" s="1027">
        <f t="shared" ca="1" si="230"/>
        <v>0</v>
      </c>
      <c r="K497" s="1027">
        <f t="shared" ca="1" si="230"/>
        <v>0</v>
      </c>
      <c r="L497" s="1027">
        <f t="shared" ca="1" si="230"/>
        <v>0</v>
      </c>
      <c r="M497" s="1027">
        <f t="shared" ref="M497:N497" ca="1" si="231">IF(OR(AND(M$5=0,NoZeroCol=1),AND(M$5=-99,NoResCol=1)),0,OFFSET($E$498,0,M$8)+M499)</f>
        <v>0</v>
      </c>
      <c r="N497" s="1027">
        <f t="shared" ca="1" si="231"/>
        <v>0</v>
      </c>
      <c r="O497" s="1027">
        <f t="shared" ref="O497:P497" ca="1" si="232">IF(OR(AND(O$5=0,NoZeroCol=1),AND(O$5=-99,NoResCol=1)),0,OFFSET($E$498,0,O$8)+O499)</f>
        <v>0</v>
      </c>
      <c r="P497" s="1027">
        <f t="shared" ca="1" si="232"/>
        <v>0</v>
      </c>
      <c r="Q497" s="579">
        <f t="shared" ca="1" si="230"/>
        <v>0</v>
      </c>
      <c r="R497" s="455"/>
      <c r="S497" s="319" t="s">
        <v>644</v>
      </c>
    </row>
    <row r="498" spans="1:19" ht="11.25" customHeight="1" x14ac:dyDescent="0.35">
      <c r="A498" s="235"/>
      <c r="B498" s="445"/>
      <c r="C498" s="434" t="str">
        <f>B497</f>
        <v>Financing income and expenses</v>
      </c>
      <c r="D498" s="1118"/>
      <c r="E498" s="324" t="s">
        <v>864</v>
      </c>
      <c r="F498" s="1025"/>
      <c r="G498" s="1025"/>
      <c r="H498" s="1025"/>
      <c r="I498" s="1025"/>
      <c r="J498" s="1025"/>
      <c r="K498" s="1025"/>
      <c r="L498" s="1025"/>
      <c r="M498" s="1025"/>
      <c r="N498" s="1025"/>
      <c r="O498" s="1025"/>
      <c r="P498" s="1025"/>
      <c r="Q498" s="1010"/>
      <c r="R498" s="321" t="str">
        <f>IF(MID(S498,7,1)="D","  ","")</f>
        <v/>
      </c>
      <c r="S498" s="319" t="s">
        <v>71</v>
      </c>
    </row>
    <row r="499" spans="1:19" ht="11.25" customHeight="1" x14ac:dyDescent="0.35">
      <c r="A499" s="235"/>
      <c r="B499" s="445"/>
      <c r="C499" s="434" t="s">
        <v>865</v>
      </c>
      <c r="D499" s="1118"/>
      <c r="E499" s="324" t="s">
        <v>866</v>
      </c>
      <c r="F499" s="1026"/>
      <c r="G499" s="1026"/>
      <c r="H499" s="1026"/>
      <c r="I499" s="1026"/>
      <c r="J499" s="1026"/>
      <c r="K499" s="1026"/>
      <c r="L499" s="1026"/>
      <c r="M499" s="1026"/>
      <c r="N499" s="1026"/>
      <c r="O499" s="1026"/>
      <c r="P499" s="1026"/>
      <c r="Q499" s="512"/>
      <c r="R499" s="321" t="str">
        <f>IF(MID(S499,7,1)="D","  ","")</f>
        <v/>
      </c>
      <c r="S499" s="319" t="s">
        <v>148</v>
      </c>
    </row>
    <row r="500" spans="1:19" ht="11.25" customHeight="1" x14ac:dyDescent="0.35">
      <c r="A500" s="235"/>
      <c r="B500" s="441" t="s">
        <v>867</v>
      </c>
      <c r="C500" s="314"/>
      <c r="D500" s="1158"/>
      <c r="E500" s="380" t="s">
        <v>868</v>
      </c>
      <c r="F500" s="1022">
        <f t="shared" ref="F500:Q500" ca="1" si="233">IF(OR(AND(F$5=0,NoZeroCol=1),AND(F$5=-99,NoResCol=1)),0,F494+F497)</f>
        <v>0</v>
      </c>
      <c r="G500" s="1022">
        <f t="shared" si="233"/>
        <v>0</v>
      </c>
      <c r="H500" s="1022">
        <f t="shared" ca="1" si="233"/>
        <v>81833.333333333328</v>
      </c>
      <c r="I500" s="1022">
        <f t="shared" ca="1" si="233"/>
        <v>64168.581755277803</v>
      </c>
      <c r="J500" s="1022">
        <f t="shared" ca="1" si="233"/>
        <v>67919.631331726385</v>
      </c>
      <c r="K500" s="1022">
        <f t="shared" ca="1" si="233"/>
        <v>71754.555263392191</v>
      </c>
      <c r="L500" s="1022">
        <f t="shared" ca="1" si="233"/>
        <v>1681966.9623718653</v>
      </c>
      <c r="M500" s="1022">
        <f t="shared" ref="M500:N500" ca="1" si="234">IF(OR(AND(M$5=0,NoZeroCol=1),AND(M$5=-99,NoResCol=1)),0,M494+M497)</f>
        <v>2704537.6539055351</v>
      </c>
      <c r="N500" s="1022">
        <f t="shared" ca="1" si="234"/>
        <v>3956917.2197842803</v>
      </c>
      <c r="O500" s="1022">
        <f t="shared" ref="O500:P500" ca="1" si="235">IF(OR(AND(O$5=0,NoZeroCol=1),AND(O$5=-99,NoResCol=1)),0,O494+O497)</f>
        <v>5458958.1645482406</v>
      </c>
      <c r="P500" s="1022">
        <f t="shared" ca="1" si="235"/>
        <v>7297084.0543059707</v>
      </c>
      <c r="Q500" s="1008">
        <f t="shared" ca="1" si="233"/>
        <v>0</v>
      </c>
      <c r="R500" s="321"/>
      <c r="S500" s="319" t="s">
        <v>644</v>
      </c>
    </row>
    <row r="501" spans="1:19" ht="11.25" customHeight="1" x14ac:dyDescent="0.35">
      <c r="A501" s="434"/>
      <c r="B501" s="446" t="s">
        <v>869</v>
      </c>
      <c r="C501" s="447"/>
      <c r="D501" s="1160"/>
      <c r="E501" s="420" t="s">
        <v>870</v>
      </c>
      <c r="F501" s="1027">
        <f t="shared" ref="F501:Q501" ca="1" si="236">IF(OR(AND(F$5=0,NoZeroCol=1),AND(F$5=-99,NoResCol=1)),0,F502+OFFSET($E$503,0,F$8))</f>
        <v>0</v>
      </c>
      <c r="G501" s="1027">
        <f t="shared" ca="1" si="236"/>
        <v>0</v>
      </c>
      <c r="H501" s="1027">
        <f t="shared" ca="1" si="236"/>
        <v>0</v>
      </c>
      <c r="I501" s="1027">
        <f t="shared" ca="1" si="236"/>
        <v>0</v>
      </c>
      <c r="J501" s="1027">
        <f t="shared" ca="1" si="236"/>
        <v>0</v>
      </c>
      <c r="K501" s="1027">
        <f t="shared" ca="1" si="236"/>
        <v>0</v>
      </c>
      <c r="L501" s="1027">
        <f t="shared" ca="1" si="236"/>
        <v>0</v>
      </c>
      <c r="M501" s="1027">
        <f t="shared" ca="1" si="236"/>
        <v>0</v>
      </c>
      <c r="N501" s="1027">
        <f t="shared" ca="1" si="236"/>
        <v>0</v>
      </c>
      <c r="O501" s="1027">
        <f t="shared" ca="1" si="236"/>
        <v>0</v>
      </c>
      <c r="P501" s="1027">
        <f t="shared" ca="1" si="236"/>
        <v>0</v>
      </c>
      <c r="Q501" s="579">
        <f t="shared" ca="1" si="236"/>
        <v>-1067306.4778645835</v>
      </c>
      <c r="R501" s="381"/>
      <c r="S501" s="319" t="s">
        <v>71</v>
      </c>
    </row>
    <row r="502" spans="1:19" ht="11.25" customHeight="1" x14ac:dyDescent="0.35">
      <c r="A502" s="235"/>
      <c r="B502" s="445"/>
      <c r="C502" s="434" t="s">
        <v>871</v>
      </c>
      <c r="D502" s="1118"/>
      <c r="E502" s="324" t="s">
        <v>872</v>
      </c>
      <c r="F502" s="1026">
        <f t="shared" ref="F502:Q502" si="237">IF(OR(AND(F$5=0,NoZeroCol=1),AND(F$5=-99,NoResCol=1)),0,IF(CalculatedDepreciation,F$326,F$321))</f>
        <v>0</v>
      </c>
      <c r="G502" s="1026">
        <f t="shared" si="237"/>
        <v>0</v>
      </c>
      <c r="H502" s="1026">
        <f t="shared" si="237"/>
        <v>0</v>
      </c>
      <c r="I502" s="1026">
        <f t="shared" si="237"/>
        <v>0</v>
      </c>
      <c r="J502" s="1026">
        <f t="shared" si="237"/>
        <v>0</v>
      </c>
      <c r="K502" s="1026">
        <f t="shared" si="237"/>
        <v>0</v>
      </c>
      <c r="L502" s="1026">
        <f t="shared" si="237"/>
        <v>0</v>
      </c>
      <c r="M502" s="1026">
        <f t="shared" si="237"/>
        <v>0</v>
      </c>
      <c r="N502" s="1026">
        <f t="shared" si="237"/>
        <v>0</v>
      </c>
      <c r="O502" s="1026">
        <f t="shared" si="237"/>
        <v>0</v>
      </c>
      <c r="P502" s="1026">
        <f t="shared" si="237"/>
        <v>0</v>
      </c>
      <c r="Q502" s="512">
        <f t="shared" ca="1" si="237"/>
        <v>-1067306.4778645835</v>
      </c>
      <c r="R502" s="321" t="str">
        <f>IF(MID(S502,7,1)="D","  ","")</f>
        <v/>
      </c>
      <c r="S502" s="319" t="s">
        <v>148</v>
      </c>
    </row>
    <row r="503" spans="1:19" ht="11.25" customHeight="1" x14ac:dyDescent="0.35">
      <c r="A503" s="235"/>
      <c r="B503" s="445"/>
      <c r="C503" s="456" t="s">
        <v>873</v>
      </c>
      <c r="D503" s="1162"/>
      <c r="E503" s="324" t="s">
        <v>874</v>
      </c>
      <c r="F503" s="1025"/>
      <c r="G503" s="1025"/>
      <c r="H503" s="1025"/>
      <c r="I503" s="1025"/>
      <c r="J503" s="1025"/>
      <c r="K503" s="1025"/>
      <c r="L503" s="1025"/>
      <c r="M503" s="1025"/>
      <c r="N503" s="1025"/>
      <c r="O503" s="1025"/>
      <c r="P503" s="1025"/>
      <c r="Q503" s="1010"/>
      <c r="R503" s="321" t="str">
        <f>IF(MID(S503,7,1)="D","  ","")</f>
        <v/>
      </c>
      <c r="S503" s="319" t="s">
        <v>148</v>
      </c>
    </row>
    <row r="504" spans="1:19" ht="11.25" customHeight="1" x14ac:dyDescent="0.35">
      <c r="A504" s="235"/>
      <c r="B504" s="441" t="s">
        <v>875</v>
      </c>
      <c r="C504" s="314"/>
      <c r="D504" s="1158"/>
      <c r="E504" s="380" t="s">
        <v>876</v>
      </c>
      <c r="F504" s="1022">
        <f t="shared" ref="F504:Q504" ca="1" si="238">IF(OR(AND(F$5=0,NoZeroCol=1),AND(F$5=-99,NoResCol=1)),0,F500+F501)</f>
        <v>0</v>
      </c>
      <c r="G504" s="1022">
        <f t="shared" si="238"/>
        <v>0</v>
      </c>
      <c r="H504" s="1022">
        <f t="shared" ca="1" si="238"/>
        <v>81833.333333333328</v>
      </c>
      <c r="I504" s="1022">
        <f t="shared" ca="1" si="238"/>
        <v>64168.581755277803</v>
      </c>
      <c r="J504" s="1022">
        <f t="shared" ca="1" si="238"/>
        <v>67919.631331726385</v>
      </c>
      <c r="K504" s="1022">
        <f t="shared" ca="1" si="238"/>
        <v>71754.555263392191</v>
      </c>
      <c r="L504" s="1022">
        <f t="shared" ca="1" si="238"/>
        <v>1681966.9623718653</v>
      </c>
      <c r="M504" s="1022">
        <f t="shared" ref="M504:N504" ca="1" si="239">IF(OR(AND(M$5=0,NoZeroCol=1),AND(M$5=-99,NoResCol=1)),0,M500+M501)</f>
        <v>2704537.6539055351</v>
      </c>
      <c r="N504" s="1022">
        <f t="shared" ca="1" si="239"/>
        <v>3956917.2197842803</v>
      </c>
      <c r="O504" s="1022">
        <f t="shared" ref="O504:P504" ca="1" si="240">IF(OR(AND(O$5=0,NoZeroCol=1),AND(O$5=-99,NoResCol=1)),0,O500+O501)</f>
        <v>5458958.1645482406</v>
      </c>
      <c r="P504" s="1022">
        <f t="shared" ca="1" si="240"/>
        <v>7297084.0543059707</v>
      </c>
      <c r="Q504" s="1008">
        <f t="shared" ca="1" si="238"/>
        <v>-1067306.4778645835</v>
      </c>
      <c r="R504" s="321"/>
      <c r="S504" s="319" t="s">
        <v>71</v>
      </c>
    </row>
    <row r="505" spans="1:19" ht="11.25" customHeight="1" x14ac:dyDescent="0.35">
      <c r="A505" s="235"/>
      <c r="B505" s="445" t="s">
        <v>877</v>
      </c>
      <c r="C505" s="434"/>
      <c r="D505" s="1118"/>
      <c r="E505" s="324" t="s">
        <v>878</v>
      </c>
      <c r="F505" s="1036">
        <f t="shared" ref="F505:Q505" ca="1" si="241">OFFSET(F505,1,0)+OFFSET(F505,2,0)</f>
        <v>0</v>
      </c>
      <c r="G505" s="1036">
        <f t="shared" ca="1" si="241"/>
        <v>0</v>
      </c>
      <c r="H505" s="1036">
        <f t="shared" ca="1" si="241"/>
        <v>0</v>
      </c>
      <c r="I505" s="1036">
        <f t="shared" ca="1" si="241"/>
        <v>0</v>
      </c>
      <c r="J505" s="1036">
        <f t="shared" ca="1" si="241"/>
        <v>0</v>
      </c>
      <c r="K505" s="1036">
        <f t="shared" ca="1" si="241"/>
        <v>0</v>
      </c>
      <c r="L505" s="1036">
        <f t="shared" ca="1" si="241"/>
        <v>0</v>
      </c>
      <c r="M505" s="1036">
        <f t="shared" ca="1" si="241"/>
        <v>0</v>
      </c>
      <c r="N505" s="1036">
        <f t="shared" ca="1" si="241"/>
        <v>0</v>
      </c>
      <c r="O505" s="1036">
        <f t="shared" ca="1" si="241"/>
        <v>0</v>
      </c>
      <c r="P505" s="1036">
        <f t="shared" ca="1" si="241"/>
        <v>0</v>
      </c>
      <c r="Q505" s="1015">
        <f t="shared" ca="1" si="241"/>
        <v>0</v>
      </c>
      <c r="R505" s="457"/>
      <c r="S505" s="319" t="s">
        <v>71</v>
      </c>
    </row>
    <row r="506" spans="1:19" ht="11.25" customHeight="1" x14ac:dyDescent="0.35">
      <c r="A506" s="235"/>
      <c r="B506" s="445"/>
      <c r="C506" s="434" t="str">
        <f ca="1">"Depreciation in excess of (-) / under (+) "&amp;LOWER(SpecsTxt!$C$22)</f>
        <v>Depreciation in excess of (-) / under (+) imputed</v>
      </c>
      <c r="D506" s="1118"/>
      <c r="E506" s="324" t="s">
        <v>879</v>
      </c>
      <c r="F506" s="1025"/>
      <c r="G506" s="1026">
        <f t="shared" ref="G506:Q506" si="242">IF(CalculatedDepreciation,G$320-G$325+G$321-G$326,0)</f>
        <v>0</v>
      </c>
      <c r="H506" s="1026">
        <f t="shared" si="242"/>
        <v>0</v>
      </c>
      <c r="I506" s="1026">
        <f t="shared" si="242"/>
        <v>0</v>
      </c>
      <c r="J506" s="1026">
        <f t="shared" si="242"/>
        <v>0</v>
      </c>
      <c r="K506" s="1026">
        <f t="shared" si="242"/>
        <v>0</v>
      </c>
      <c r="L506" s="1026">
        <f t="shared" si="242"/>
        <v>0</v>
      </c>
      <c r="M506" s="1026">
        <f t="shared" si="242"/>
        <v>0</v>
      </c>
      <c r="N506" s="1026">
        <f t="shared" si="242"/>
        <v>0</v>
      </c>
      <c r="O506" s="1026">
        <f t="shared" si="242"/>
        <v>0</v>
      </c>
      <c r="P506" s="1026">
        <f t="shared" si="242"/>
        <v>0</v>
      </c>
      <c r="Q506" s="512">
        <f t="shared" si="242"/>
        <v>0</v>
      </c>
      <c r="R506" s="457"/>
      <c r="S506" s="319" t="s">
        <v>148</v>
      </c>
    </row>
    <row r="507" spans="1:19" ht="11.25" customHeight="1" x14ac:dyDescent="0.35">
      <c r="A507" s="235"/>
      <c r="B507" s="458"/>
      <c r="C507" s="434" t="str">
        <f>IF(CalculatedDepreciation,"Other a","A")&amp;"ppropriations, increase (-) / decrease (+)"</f>
        <v>Appropriations, increase (-) / decrease (+)</v>
      </c>
      <c r="D507" s="1118"/>
      <c r="E507" s="324" t="s">
        <v>880</v>
      </c>
      <c r="F507" s="1025"/>
      <c r="G507" s="1025"/>
      <c r="H507" s="1025"/>
      <c r="I507" s="1025"/>
      <c r="J507" s="1025"/>
      <c r="K507" s="1025"/>
      <c r="L507" s="1025"/>
      <c r="M507" s="1025"/>
      <c r="N507" s="1025"/>
      <c r="O507" s="1025"/>
      <c r="P507" s="1025"/>
      <c r="Q507" s="1010"/>
      <c r="R507" s="321"/>
      <c r="S507" s="319" t="s">
        <v>148</v>
      </c>
    </row>
    <row r="508" spans="1:19" ht="11.25" customHeight="1" x14ac:dyDescent="0.35">
      <c r="A508" s="235"/>
      <c r="B508" s="445" t="s">
        <v>881</v>
      </c>
      <c r="C508" s="434"/>
      <c r="D508" s="1118"/>
      <c r="E508" s="324" t="s">
        <v>882</v>
      </c>
      <c r="F508" s="1025"/>
      <c r="G508" s="1026">
        <f t="shared" ref="G508:Q508" ca="1" si="243">CalculatedTax1</f>
        <v>0</v>
      </c>
      <c r="H508" s="1026">
        <f t="shared" ca="1" si="243"/>
        <v>0</v>
      </c>
      <c r="I508" s="1026">
        <f t="shared" ca="1" si="243"/>
        <v>0</v>
      </c>
      <c r="J508" s="1026">
        <f t="shared" ca="1" si="243"/>
        <v>0</v>
      </c>
      <c r="K508" s="1026">
        <f t="shared" ca="1" si="243"/>
        <v>-79989.30847144431</v>
      </c>
      <c r="L508" s="1026">
        <f t="shared" ca="1" si="243"/>
        <v>-470950.74946412235</v>
      </c>
      <c r="M508" s="1026">
        <f t="shared" ca="1" si="243"/>
        <v>-757270.54309355002</v>
      </c>
      <c r="N508" s="1026">
        <f t="shared" ca="1" si="243"/>
        <v>-1107936.8215395985</v>
      </c>
      <c r="O508" s="1026">
        <f t="shared" ca="1" si="243"/>
        <v>-1528508.2860735075</v>
      </c>
      <c r="P508" s="1026">
        <f t="shared" ca="1" si="243"/>
        <v>-2043183.535205672</v>
      </c>
      <c r="Q508" s="512">
        <f t="shared" ca="1" si="243"/>
        <v>0</v>
      </c>
      <c r="R508" s="321" t="str">
        <f>IF(MID(S508,7,1)="D","  ","")</f>
        <v/>
      </c>
      <c r="S508" s="319" t="s">
        <v>644</v>
      </c>
    </row>
    <row r="509" spans="1:19" ht="11.25" hidden="1" customHeight="1" x14ac:dyDescent="0.35">
      <c r="A509" s="235"/>
      <c r="B509" s="445" t="s">
        <v>883</v>
      </c>
      <c r="C509" s="434"/>
      <c r="D509" s="1118"/>
      <c r="E509" s="324" t="s">
        <v>884</v>
      </c>
      <c r="F509" s="1025"/>
      <c r="G509" s="1025"/>
      <c r="H509" s="1025"/>
      <c r="I509" s="1025"/>
      <c r="J509" s="1025"/>
      <c r="K509" s="1025"/>
      <c r="L509" s="1025"/>
      <c r="M509" s="1025"/>
      <c r="N509" s="1025"/>
      <c r="O509" s="1025"/>
      <c r="P509" s="1025"/>
      <c r="Q509" s="1010"/>
      <c r="R509" s="321"/>
      <c r="S509" s="319" t="s">
        <v>145</v>
      </c>
    </row>
    <row r="510" spans="1:19" ht="11.25" hidden="1" customHeight="1" x14ac:dyDescent="0.35">
      <c r="A510" s="235"/>
      <c r="B510" s="445" t="s">
        <v>885</v>
      </c>
      <c r="C510" s="434"/>
      <c r="D510" s="1118"/>
      <c r="E510" s="324" t="s">
        <v>886</v>
      </c>
      <c r="F510" s="1025"/>
      <c r="G510" s="1026"/>
      <c r="H510" s="1025"/>
      <c r="I510" s="1025"/>
      <c r="J510" s="1025"/>
      <c r="K510" s="1025"/>
      <c r="L510" s="1025"/>
      <c r="M510" s="1025"/>
      <c r="N510" s="1025"/>
      <c r="O510" s="1025"/>
      <c r="P510" s="1025"/>
      <c r="Q510" s="1010"/>
      <c r="R510" s="321"/>
      <c r="S510" s="319" t="s">
        <v>145</v>
      </c>
    </row>
    <row r="511" spans="1:19" ht="11.25" customHeight="1" x14ac:dyDescent="0.35">
      <c r="A511" s="235"/>
      <c r="B511" s="441" t="s">
        <v>887</v>
      </c>
      <c r="C511" s="314"/>
      <c r="D511" s="1158"/>
      <c r="E511" s="459" t="s">
        <v>888</v>
      </c>
      <c r="F511" s="1022">
        <f t="shared" ref="F511:Q511" ca="1" si="244">IF(OR(AND(F$5=0,NoZeroCol=1),AND(F$5=-99,NoResCol=1)),0,F504+OFFSET($E$505,0,F$8)+OFFSET($E$508,0,F$8)+OFFSET($E$509,0,F$8)+OFFSET($E$510,0,F$8))</f>
        <v>0</v>
      </c>
      <c r="G511" s="1022">
        <f t="shared" ca="1" si="244"/>
        <v>0</v>
      </c>
      <c r="H511" s="1022">
        <f t="shared" ca="1" si="244"/>
        <v>81833.333333333328</v>
      </c>
      <c r="I511" s="1022">
        <f t="shared" ca="1" si="244"/>
        <v>64168.581755277803</v>
      </c>
      <c r="J511" s="1022">
        <f t="shared" ca="1" si="244"/>
        <v>67919.631331726385</v>
      </c>
      <c r="K511" s="1022">
        <f t="shared" ca="1" si="244"/>
        <v>-8234.7532080521196</v>
      </c>
      <c r="L511" s="1022">
        <f t="shared" ca="1" si="244"/>
        <v>1211016.2129077429</v>
      </c>
      <c r="M511" s="1022">
        <f t="shared" ref="M511:N511" ca="1" si="245">IF(OR(AND(M$5=0,NoZeroCol=1),AND(M$5=-99,NoResCol=1)),0,M504+OFFSET($E$505,0,M$8)+OFFSET($E$508,0,M$8)+OFFSET($E$509,0,M$8)+OFFSET($E$510,0,M$8))</f>
        <v>1947267.1108119851</v>
      </c>
      <c r="N511" s="1022">
        <f t="shared" ca="1" si="245"/>
        <v>2848980.3982446818</v>
      </c>
      <c r="O511" s="1022">
        <f t="shared" ref="O511:P511" ca="1" si="246">IF(OR(AND(O$5=0,NoZeroCol=1),AND(O$5=-99,NoResCol=1)),0,O504+OFFSET($E$505,0,O$8)+OFFSET($E$508,0,O$8)+OFFSET($E$509,0,O$8)+OFFSET($E$510,0,O$8))</f>
        <v>3930449.8784747329</v>
      </c>
      <c r="P511" s="1022">
        <f t="shared" ca="1" si="246"/>
        <v>5253900.5191002991</v>
      </c>
      <c r="Q511" s="1008">
        <f t="shared" ca="1" si="244"/>
        <v>-1067306.4778645835</v>
      </c>
      <c r="R511" s="321"/>
      <c r="S511" s="319" t="s">
        <v>644</v>
      </c>
    </row>
    <row r="512" spans="1:19" ht="11.25" hidden="1" customHeight="1" x14ac:dyDescent="0.35">
      <c r="A512" s="453"/>
      <c r="B512" s="443" t="s">
        <v>5544</v>
      </c>
      <c r="C512" s="444"/>
      <c r="D512" s="1167"/>
      <c r="E512" s="324" t="s">
        <v>889</v>
      </c>
      <c r="F512" s="1023">
        <f ca="1">IF(OFFSET(F$1,0,-1)=FinMonth,F511,F511+IF(OFFSET(F$7,0,-1)=0,OFFSET(F512,0,-1),0))</f>
        <v>0</v>
      </c>
      <c r="G512" s="1023">
        <f ca="1">IF(RIGHT(OFFSET(G$6,0,-1),6)=RIGHT(G$6,6),OFFSET(G512,0,-1),0)+G511</f>
        <v>0</v>
      </c>
      <c r="H512" s="1023">
        <f t="shared" ref="H512:P512" ca="1" si="247">IF(OFFSET(H$1,0,-1)=FinMonth,H511,H511+OFFSET(H512,0,-1))</f>
        <v>81833.333333333328</v>
      </c>
      <c r="I512" s="1023">
        <f t="shared" ca="1" si="247"/>
        <v>146001.91508861113</v>
      </c>
      <c r="J512" s="1023">
        <f t="shared" ca="1" si="247"/>
        <v>213921.54642033752</v>
      </c>
      <c r="K512" s="1023">
        <f t="shared" ca="1" si="247"/>
        <v>205686.79321228538</v>
      </c>
      <c r="L512" s="1023">
        <f t="shared" ca="1" si="247"/>
        <v>1211016.2129077429</v>
      </c>
      <c r="M512" s="1023">
        <f t="shared" ca="1" si="247"/>
        <v>1947267.1108119851</v>
      </c>
      <c r="N512" s="1023">
        <f t="shared" ca="1" si="247"/>
        <v>2848980.3982446818</v>
      </c>
      <c r="O512" s="1023">
        <f t="shared" ca="1" si="247"/>
        <v>3930449.8784747329</v>
      </c>
      <c r="P512" s="1023">
        <f t="shared" ca="1" si="247"/>
        <v>5253900.5191002991</v>
      </c>
      <c r="Q512" s="1009">
        <f ca="1">IF(AND(Q$5=-99,NoResCol=1),0,OFFSET(Q512,0,-1)+Q511)</f>
        <v>4186594.0412357156</v>
      </c>
      <c r="R512" s="321"/>
      <c r="S512" s="319" t="s">
        <v>6214</v>
      </c>
    </row>
    <row r="513" spans="1:19" ht="11.25" hidden="1" customHeight="1" x14ac:dyDescent="0.35">
      <c r="A513" s="453"/>
      <c r="B513" s="460" t="s">
        <v>5543</v>
      </c>
      <c r="C513" s="461"/>
      <c r="D513" s="1168"/>
      <c r="E513" s="385" t="s">
        <v>890</v>
      </c>
      <c r="F513" s="1037" t="str">
        <f ca="1">IF(F$457&lt;&gt;0,F512/F$457,"")</f>
        <v/>
      </c>
      <c r="G513" s="1038"/>
      <c r="H513" s="1037">
        <f t="shared" ref="H513:Q513" ca="1" si="248">IF(H$457&lt;&gt;0,H512/H$457,"")</f>
        <v>8.6596119929453264E-2</v>
      </c>
      <c r="I513" s="1037">
        <f t="shared" ca="1" si="248"/>
        <v>7.6596492866532556E-2</v>
      </c>
      <c r="J513" s="1037">
        <f t="shared" ca="1" si="248"/>
        <v>7.4184878438110058E-2</v>
      </c>
      <c r="K513" s="1037">
        <f t="shared" ca="1" si="248"/>
        <v>5.3042009322139781E-2</v>
      </c>
      <c r="L513" s="1037">
        <f t="shared" ca="1" si="248"/>
        <v>8.2864171405959461E-2</v>
      </c>
      <c r="M513" s="1037">
        <f t="shared" ref="M513:N513" ca="1" si="249">IF(M$457&lt;&gt;0,M512/M$457,"")</f>
        <v>0.10876928522367295</v>
      </c>
      <c r="N513" s="1037">
        <f t="shared" ca="1" si="249"/>
        <v>0.12990746807289552</v>
      </c>
      <c r="O513" s="1037">
        <f t="shared" ref="O513:P513" ca="1" si="250">IF(O$457&lt;&gt;0,O512/O$457,"")</f>
        <v>0.14630219128237582</v>
      </c>
      <c r="P513" s="1037">
        <f t="shared" ca="1" si="250"/>
        <v>0.15964463382367758</v>
      </c>
      <c r="Q513" s="1016" t="str">
        <f t="shared" si="248"/>
        <v/>
      </c>
      <c r="R513" s="321"/>
      <c r="S513" s="319" t="s">
        <v>145</v>
      </c>
    </row>
    <row r="514" spans="1:19" ht="11.25" hidden="1" customHeight="1" x14ac:dyDescent="0.35">
      <c r="A514" s="434"/>
      <c r="B514" s="462" t="s">
        <v>891</v>
      </c>
      <c r="C514" s="451"/>
      <c r="D514" s="434"/>
      <c r="E514" s="463" t="s">
        <v>892</v>
      </c>
      <c r="F514" s="464"/>
      <c r="G514" s="465"/>
      <c r="H514" s="464"/>
      <c r="I514" s="464"/>
      <c r="J514" s="464"/>
      <c r="K514" s="464"/>
      <c r="L514" s="464"/>
      <c r="M514" s="464"/>
      <c r="N514" s="464"/>
      <c r="O514" s="464"/>
      <c r="P514" s="464"/>
      <c r="Q514" s="1275"/>
      <c r="R514" s="381"/>
      <c r="S514" s="319" t="s">
        <v>700</v>
      </c>
    </row>
    <row r="515" spans="1:19" ht="11.25" customHeight="1" x14ac:dyDescent="0.35">
      <c r="A515" s="235"/>
      <c r="B515" s="467" t="s">
        <v>893</v>
      </c>
      <c r="C515" s="468"/>
      <c r="D515" s="1151"/>
      <c r="E515" s="469" t="s">
        <v>894</v>
      </c>
      <c r="F515" s="1041" t="str">
        <f ca="1">IF(OR(F$1=FinMonth,F$16=LastPeriod),IF(F$521&lt;&gt;0,CHOOSE(RonaBAT,F$519,F$520,F$512)/F$521,"-"),"-")</f>
        <v>-</v>
      </c>
      <c r="G515" s="1042"/>
      <c r="H515" s="1041" t="str">
        <f t="shared" ref="H515:P515" si="251">IF(OR(H$1=FinMonth,H$16=LastPeriod),IF(H$521&lt;&gt;0,CHOOSE(RonaBAT,H$519,H$520,H$512)/H$521,"-"),"-")</f>
        <v>-</v>
      </c>
      <c r="I515" s="1041" t="str">
        <f t="shared" si="251"/>
        <v>-</v>
      </c>
      <c r="J515" s="1041" t="str">
        <f t="shared" si="251"/>
        <v>-</v>
      </c>
      <c r="K515" s="1041">
        <f t="shared" ca="1" si="251"/>
        <v>6.893355284252442E-2</v>
      </c>
      <c r="L515" s="1041">
        <f t="shared" ca="1" si="251"/>
        <v>0.41055818682691603</v>
      </c>
      <c r="M515" s="1041">
        <f t="shared" ca="1" si="251"/>
        <v>0.650793771043499</v>
      </c>
      <c r="N515" s="1041">
        <f t="shared" ca="1" si="251"/>
        <v>0.90148569997215833</v>
      </c>
      <c r="O515" s="1041">
        <f t="shared" ca="1" si="251"/>
        <v>1.1539596184408369</v>
      </c>
      <c r="P515" s="1041">
        <f t="shared" ca="1" si="251"/>
        <v>1.3993931984172201</v>
      </c>
      <c r="Q515" s="1039">
        <f ca="1">IF(AND(Q$5=-99,NoResCol=1),0,IF(Q$521&lt;&gt;0,CHOOSE(RonaBAT,Q$519,Q$520,Q$512)/Q$521,"-"))</f>
        <v>-0.43169080893209361</v>
      </c>
      <c r="R515" s="321"/>
      <c r="S515" s="319" t="s">
        <v>148</v>
      </c>
    </row>
    <row r="516" spans="1:19" ht="11.25" customHeight="1" x14ac:dyDescent="0.35">
      <c r="A516" s="235"/>
      <c r="B516" s="470" t="s">
        <v>895</v>
      </c>
      <c r="C516" s="471"/>
      <c r="D516" s="1152"/>
      <c r="E516" s="463" t="s">
        <v>896</v>
      </c>
      <c r="F516" s="1043">
        <f ca="1">IF(OR(F$1=FinMonth,F$16=LastPeriod),CHOOSE(EvaBAT,F$519,F$520,F$512)-F$522,"-")</f>
        <v>0</v>
      </c>
      <c r="G516" s="962"/>
      <c r="H516" s="1043" t="str">
        <f t="shared" ref="H516:P516" ca="1" si="252">IF(OR(H$1=FinMonth,H$16=LastPeriod),CHOOSE(EvaBAT,H$519,H$520,H$512-H$497-H$505-OFFSET($E$510,0,H$8))-H$522,"-")</f>
        <v>-</v>
      </c>
      <c r="I516" s="1043" t="str">
        <f t="shared" ca="1" si="252"/>
        <v>-</v>
      </c>
      <c r="J516" s="1043" t="str">
        <f t="shared" ca="1" si="252"/>
        <v>-</v>
      </c>
      <c r="K516" s="1043">
        <f t="shared" ca="1" si="252"/>
        <v>91720.626195630175</v>
      </c>
      <c r="L516" s="1043">
        <f t="shared" ca="1" si="252"/>
        <v>1098354.7365340514</v>
      </c>
      <c r="M516" s="1043">
        <f t="shared" ca="1" si="252"/>
        <v>1832983.9249678</v>
      </c>
      <c r="N516" s="1043">
        <f t="shared" ca="1" si="252"/>
        <v>2728273.8539839927</v>
      </c>
      <c r="O516" s="1043">
        <f t="shared" ca="1" si="252"/>
        <v>3800357.5016479669</v>
      </c>
      <c r="P516" s="1043">
        <f t="shared" ca="1" si="252"/>
        <v>5110502.7866256945</v>
      </c>
      <c r="Q516" s="1040">
        <f ca="1">IF(DCVAResidual=1,IF(UsePerpetuity=1,OFFSET(CHOOSE(EvaBAT,Q$519,Q$520,Q$511),0,-1)*IF(PerpetuityDiscRate&lt;&gt;0,1/(PerpetuityDiscRate/100),1)-Q$521,CHOOSE(EvaBAT,Q$519,Q$520,Q$511)-Q$522-IF(DCVAAdjust=1,Q$322+Q$626,0)),0)</f>
        <v>-1067306.4778645835</v>
      </c>
      <c r="R516" s="321"/>
      <c r="S516" s="319" t="s">
        <v>148</v>
      </c>
    </row>
    <row r="517" spans="1:19" ht="11.25" customHeight="1" x14ac:dyDescent="0.35">
      <c r="A517" s="235"/>
      <c r="B517" s="472" t="s">
        <v>897</v>
      </c>
      <c r="C517" s="462"/>
      <c r="D517" s="1153"/>
      <c r="E517" s="473" t="s">
        <v>898</v>
      </c>
      <c r="F517" s="1044"/>
      <c r="G517" s="1044"/>
      <c r="H517" s="970" t="str">
        <f t="shared" ref="H517:P517" ca="1" si="253">IF(SUM(H516)&lt;&gt;0,H516*IF(H$5&lt;=CalcPoint,IF(DontCompound=1,1,(1+IF(VariableRate=1,H$1062,DiscMonth))^IF(MYDisc,H$1066,H$1064)),1/((1+IF(VariableRate=1,H$1062,DiscMonth))^IF(MYDisc,H$1066,H$1064))),"-")</f>
        <v>-</v>
      </c>
      <c r="I517" s="970" t="str">
        <f t="shared" ca="1" si="253"/>
        <v>-</v>
      </c>
      <c r="J517" s="970" t="str">
        <f t="shared" ca="1" si="253"/>
        <v>-</v>
      </c>
      <c r="K517" s="970">
        <f t="shared" ca="1" si="253"/>
        <v>90894.945637515746</v>
      </c>
      <c r="L517" s="970">
        <f t="shared" ca="1" si="253"/>
        <v>1059335.4839022411</v>
      </c>
      <c r="M517" s="970">
        <f t="shared" ca="1" si="253"/>
        <v>1720551.6654360658</v>
      </c>
      <c r="N517" s="970">
        <f t="shared" ca="1" si="253"/>
        <v>2492385.3654640047</v>
      </c>
      <c r="O517" s="970">
        <f t="shared" ca="1" si="253"/>
        <v>3378857.3256617533</v>
      </c>
      <c r="P517" s="970">
        <f t="shared" ca="1" si="253"/>
        <v>4422086.1571216471</v>
      </c>
      <c r="Q517" s="966">
        <f ca="1">IF(AND(NoResCol=1,UsePerpetuity&lt;&gt;1),0,IF(SUM(Q516)&lt;&gt;0,Q516*IF(OFFSET(Q$5,0,-1)&lt;=CalcPoint,IF(DontCompound=1,1,(1+IF(VariableRate=1,Q$1062,DiscMonth))^IF(MYDisc,Q$1066,Q$1064)),1/((1+IF(VariableRate=1,Q$1062,DiscMonth))^IF(MYDisc,Q$1066,Q$1064))),"-"))</f>
        <v>-923533.63225294731</v>
      </c>
      <c r="R517" s="321"/>
      <c r="S517" s="319" t="s">
        <v>82</v>
      </c>
    </row>
    <row r="518" spans="1:19" ht="11.25" customHeight="1" x14ac:dyDescent="0.35">
      <c r="A518" s="235"/>
      <c r="B518" s="474" t="s">
        <v>899</v>
      </c>
      <c r="C518" s="466"/>
      <c r="D518" s="1152"/>
      <c r="E518" s="463" t="s">
        <v>900</v>
      </c>
      <c r="F518" s="981"/>
      <c r="G518" s="981"/>
      <c r="H518" s="962">
        <f t="shared" ref="H518:Q518" ca="1" si="254">SUM(H517)+OFFSET(H518,0,-1)</f>
        <v>0</v>
      </c>
      <c r="I518" s="962">
        <f t="shared" ca="1" si="254"/>
        <v>0</v>
      </c>
      <c r="J518" s="962">
        <f t="shared" ca="1" si="254"/>
        <v>0</v>
      </c>
      <c r="K518" s="962">
        <f t="shared" ca="1" si="254"/>
        <v>90894.945637515746</v>
      </c>
      <c r="L518" s="962">
        <f t="shared" ca="1" si="254"/>
        <v>1150230.4295397568</v>
      </c>
      <c r="M518" s="962">
        <f t="shared" ref="M518:N518" ca="1" si="255">SUM(M517)+OFFSET(M518,0,-1)</f>
        <v>2870782.0949758226</v>
      </c>
      <c r="N518" s="962">
        <f t="shared" ca="1" si="255"/>
        <v>5363167.4604398273</v>
      </c>
      <c r="O518" s="962">
        <f t="shared" ref="O518:P518" ca="1" si="256">SUM(O517)+OFFSET(O518,0,-1)</f>
        <v>8742024.7861015797</v>
      </c>
      <c r="P518" s="962">
        <f t="shared" ca="1" si="256"/>
        <v>13164110.943223227</v>
      </c>
      <c r="Q518" s="407">
        <f t="shared" ca="1" si="254"/>
        <v>12240577.31097028</v>
      </c>
      <c r="R518" s="321"/>
      <c r="S518" s="319" t="s">
        <v>82</v>
      </c>
    </row>
    <row r="519" spans="1:19" ht="11.25" hidden="1" customHeight="1" x14ac:dyDescent="0.35">
      <c r="A519" s="235"/>
      <c r="B519" s="475" t="s">
        <v>901</v>
      </c>
      <c r="C519" s="476"/>
      <c r="D519" s="1117"/>
      <c r="E519" s="477" t="s">
        <v>902</v>
      </c>
      <c r="F519" s="1045">
        <f ca="1">IF(OR(F$1=FinMonth,F$16=LastPeriod),F$495+F$321,"-")</f>
        <v>0</v>
      </c>
      <c r="G519" s="1045"/>
      <c r="H519" s="1045" t="str">
        <f t="shared" ref="H519:P519" si="257">IF(OR(H$1=FinMonth,H$16=LastPeriod),H$495+H$1219,"-")</f>
        <v>-</v>
      </c>
      <c r="I519" s="1045" t="str">
        <f t="shared" si="257"/>
        <v>-</v>
      </c>
      <c r="J519" s="1045" t="str">
        <f t="shared" si="257"/>
        <v>-</v>
      </c>
      <c r="K519" s="1045">
        <f t="shared" ca="1" si="257"/>
        <v>285676.10168372968</v>
      </c>
      <c r="L519" s="1045">
        <f t="shared" ca="1" si="257"/>
        <v>1681966.9623718653</v>
      </c>
      <c r="M519" s="1045">
        <f t="shared" ca="1" si="257"/>
        <v>2704537.6539055351</v>
      </c>
      <c r="N519" s="1045">
        <f t="shared" ca="1" si="257"/>
        <v>3956917.2197842803</v>
      </c>
      <c r="O519" s="1045">
        <f t="shared" ca="1" si="257"/>
        <v>5458958.1645482406</v>
      </c>
      <c r="P519" s="1045">
        <f t="shared" ca="1" si="257"/>
        <v>7297084.0543059707</v>
      </c>
      <c r="Q519" s="984">
        <f ca="1">Q$489+Q$1219</f>
        <v>-1067306.4778645835</v>
      </c>
      <c r="R519" s="321"/>
      <c r="S519" s="319" t="s">
        <v>903</v>
      </c>
    </row>
    <row r="520" spans="1:19" ht="11.25" hidden="1" customHeight="1" x14ac:dyDescent="0.35">
      <c r="A520" s="235"/>
      <c r="B520" s="478" t="s">
        <v>904</v>
      </c>
      <c r="C520" s="451"/>
      <c r="D520" s="1118"/>
      <c r="E520" s="473" t="s">
        <v>905</v>
      </c>
      <c r="F520" s="972">
        <f ca="1">IF(OR(F$1=FinMonth,F$16=LastPeriod),IF(UseCalculatedTax=1,F$519-F$519*F$4,F$512),"-")</f>
        <v>0</v>
      </c>
      <c r="G520" s="972"/>
      <c r="H520" s="972" t="str">
        <f t="shared" ref="H520:P520" ca="1" si="258">IF(OR(H$1=FinMonth,H$16=LastPeriod),H$519+IF(UseCalculatedTax=1,H$519*-H$4,OFFSET($E$508,0,H$8)),"-")</f>
        <v>-</v>
      </c>
      <c r="I520" s="972" t="str">
        <f t="shared" ca="1" si="258"/>
        <v>-</v>
      </c>
      <c r="J520" s="972" t="str">
        <f t="shared" ca="1" si="258"/>
        <v>-</v>
      </c>
      <c r="K520" s="972">
        <f t="shared" ca="1" si="258"/>
        <v>205686.79321228538</v>
      </c>
      <c r="L520" s="972">
        <f t="shared" ca="1" si="258"/>
        <v>1211016.2129077429</v>
      </c>
      <c r="M520" s="972">
        <f t="shared" ca="1" si="258"/>
        <v>1947267.1108119851</v>
      </c>
      <c r="N520" s="972">
        <f t="shared" ca="1" si="258"/>
        <v>2848980.3982446818</v>
      </c>
      <c r="O520" s="972">
        <f t="shared" ca="1" si="258"/>
        <v>3930449.8784747329</v>
      </c>
      <c r="P520" s="972">
        <f t="shared" ca="1" si="258"/>
        <v>5253900.5191002991</v>
      </c>
      <c r="Q520" s="967">
        <f ca="1">Q$519+IF(UseCalculatedTax=1,Q$519*-Q$4,OFFSET($E$508,0,Q$8))</f>
        <v>-1067306.4778645835</v>
      </c>
      <c r="R520" s="321"/>
      <c r="S520" s="319" t="s">
        <v>903</v>
      </c>
    </row>
    <row r="521" spans="1:19" ht="11.25" hidden="1" customHeight="1" x14ac:dyDescent="0.35">
      <c r="A521" s="235"/>
      <c r="B521" s="478" t="str">
        <f ca="1">SpecsTxt!$E$32&amp;", "&amp;CHOOSE(NABase,SpecsTxt!$B$32,SpecsTxt!$C$32,SpecsTxt!$D$32)</f>
        <v>Net assets, average</v>
      </c>
      <c r="C521" s="451"/>
      <c r="D521" s="1154"/>
      <c r="E521" s="479" t="s">
        <v>906</v>
      </c>
      <c r="F521" s="972">
        <f ca="1">IF(OR(F$1=FinMonth,F$16=LastPeriod),(IF(NABase&lt;3,IF(F$1022=0,0,OFFSET(F$772,0,F$1022)+OFFSET(F$626,0,F$1022)-OFFSET(F$815,0,F$1022)),0)+IF(OR(NABase=1,NABase=3),F$772+F$626-F$815,0))/IF(NABase=1,2,1),0)</f>
        <v>0</v>
      </c>
      <c r="G521" s="972"/>
      <c r="H521" s="972">
        <f ca="1">IF(OR(H$1=FinMonth,H$16=LastPeriod),(IF(NABase&lt;3,IF(H$1022=0,0,OFFSET(H$772,0,H$1022)+OFFSET(H$626,0,H$1022)-OFFSET(H$813,0,H$1022)-OFFSET(H$815,0,H$1022)),0)+IF(OR(NABase=1,NABase=3),H$772+H$626-H$813-H$815,0))/IF(NABase=1,IF(AND(H$5&gt;=0,SUM($G$17:H$17)&lt;=12,ABS(OFFSET($E$772,0,$D$7-5))+OFFSET($E$626,0,$D$7-5)-OFFSET($E$813,0,$D$7-5)-OFFSET($E$815,0,$D$7-5)=0),1,2),1),0)</f>
        <v>0</v>
      </c>
      <c r="I521" s="972">
        <f ca="1">IF(OR(I$1=FinMonth,I$16=LastPeriod),(IF(NABase&lt;3,IF(I$1022=0,0,OFFSET(I$772,0,I$1022)+OFFSET(I$626,0,I$1022)-OFFSET(I$813,0,I$1022)-OFFSET(I$815,0,I$1022)),0)+IF(OR(NABase=1,NABase=3),I$772+I$626-I$813-I$815,0))/IF(NABase=1,IF(AND(I$5&gt;=0,SUM($G$17:I$17)&lt;=12,ABS(OFFSET($E$772,0,$D$7-5))+OFFSET($E$626,0,$D$7-5)-OFFSET($E$813,0,$D$7-5)-OFFSET($E$815,0,$D$7-5)=0),1,2),1),0)</f>
        <v>0</v>
      </c>
      <c r="J521" s="972">
        <f ca="1">IF(OR(J$1=FinMonth,J$16=LastPeriod),(IF(NABase&lt;3,IF(J$1022=0,0,OFFSET(J$772,0,J$1022)+OFFSET(J$626,0,J$1022)-OFFSET(J$813,0,J$1022)-OFFSET(J$815,0,J$1022)),0)+IF(OR(NABase=1,NABase=3),J$772+J$626-J$813-J$815,0))/IF(NABase=1,IF(AND(J$5&gt;=0,SUM($G$17:J$17)&lt;=12,ABS(OFFSET($E$772,0,$D$7-5))+OFFSET($E$626,0,$D$7-5)-OFFSET($E$813,0,$D$7-5)-OFFSET($E$815,0,$D$7-5)=0),1,2),1),0)</f>
        <v>0</v>
      </c>
      <c r="K521" s="972">
        <f ca="1">IF(OR(K$1=FinMonth,K$16=LastPeriod),(IF(NABase&lt;3,IF(K$1022=0,0,OFFSET(K$772,0,K$1022)+OFFSET(K$626,0,K$1022)-OFFSET(K$813,0,K$1022)-OFFSET(K$815,0,K$1022)),0)+IF(OR(NABase=1,NABase=3),K$772+K$626-K$813-K$815,0))/IF(NABase=1,IF(AND(K$5&gt;=0,SUM($G$17:K$17)&lt;=12,ABS(OFFSET($E$772,0,$D$7-5))+OFFSET($E$626,0,$D$7-5)-OFFSET($E$813,0,$D$7-5)-OFFSET($E$815,0,$D$7-5)=0),1,2),1),0)</f>
        <v>4144224.2551510986</v>
      </c>
      <c r="L521" s="972">
        <f ca="1">IF(OR(L$1=FinMonth,L$16=LastPeriod),(IF(NABase&lt;3,IF(L$1022=0,0,OFFSET(L$772,0,L$1022)+OFFSET(L$626,0,L$1022)-OFFSET(L$813,0,L$1022)-OFFSET(L$815,0,L$1022)),0)+IF(OR(NABase=1,NABase=3),L$772+L$626-L$813-L$815,0))/IF(NABase=1,IF(AND(L$5&gt;=0,SUM($G$17:L$17)&lt;=12,ABS(OFFSET($E$772,0,$D$7-5))+OFFSET($E$626,0,$D$7-5)-OFFSET($E$813,0,$D$7-5)-OFFSET($E$815,0,$D$7-5)=0),1,2),1),0)</f>
        <v>4096780.9590433338</v>
      </c>
      <c r="M521" s="972">
        <f ca="1">IF(OR(M$1=FinMonth,M$16=LastPeriod),(IF(NABase&lt;3,IF(M$1022=0,0,OFFSET(M$772,0,M$1022)+OFFSET(M$626,0,M$1022)-OFFSET(M$813,0,M$1022)-OFFSET(M$815,0,M$1022)),0)+IF(OR(NABase=1,NABase=3),M$772+M$626-M$813-M$815,0))/IF(NABase=1,IF(AND(M$5&gt;=0,SUM($G$17:M$17)&lt;=12,ABS(OFFSET($E$772,0,$D$7-5))+OFFSET($E$626,0,$D$7-5)-OFFSET($E$813,0,$D$7-5)-OFFSET($E$815,0,$D$7-5)=0),1,2),1),0)</f>
        <v>4155752.2125158203</v>
      </c>
      <c r="N521" s="972">
        <f ca="1">IF(OR(N$1=FinMonth,N$16=LastPeriod),(IF(NABase&lt;3,IF(N$1022=0,0,OFFSET(N$772,0,N$1022)+OFFSET(N$626,0,N$1022)-OFFSET(N$813,0,N$1022)-OFFSET(N$815,0,N$1022)),0)+IF(OR(NABase=1,NABase=3),N$772+N$626-N$813-N$815,0))/IF(NABase=1,IF(AND(N$5&gt;=0,SUM($G$17:N$17)&lt;=12,ABS(OFFSET($E$772,0,$D$7-5))+OFFSET($E$626,0,$D$7-5)-OFFSET($E$813,0,$D$7-5)-OFFSET($E$815,0,$D$7-5)=0),1,2),1),0)</f>
        <v>4389328.8822068796</v>
      </c>
      <c r="O521" s="972">
        <f ca="1">IF(OR(O$1=FinMonth,O$16=LastPeriod),(IF(NABase&lt;3,IF(O$1022=0,0,OFFSET(O$772,0,O$1022)+OFFSET(O$626,0,O$1022)-OFFSET(O$813,0,O$1022)-OFFSET(O$815,0,O$1022)),0)+IF(OR(NABase=1,NABase=3),O$772+O$626-O$813-O$815,0))/IF(NABase=1,IF(AND(O$5&gt;=0,SUM($G$17:O$17)&lt;=12,ABS(OFFSET($E$772,0,$D$7-5))+OFFSET($E$626,0,$D$7-5)-OFFSET($E$813,0,$D$7-5)-OFFSET($E$815,0,$D$7-5)=0),1,2),1),0)</f>
        <v>4730631.8846096769</v>
      </c>
      <c r="P521" s="972">
        <f ca="1">IF(OR(P$1=FinMonth,P$16=LastPeriod),(IF(NABase&lt;3,IF(P$1022=0,0,OFFSET(P$772,0,P$1022)+OFFSET(P$626,0,P$1022)-OFFSET(P$813,0,P$1022)-OFFSET(P$815,0,P$1022)),0)+IF(OR(NABase=1,NABase=3),P$772+P$626-P$813-P$815,0))/IF(NABase=1,IF(AND(P$5&gt;=0,SUM($G$17:P$17)&lt;=12,ABS(OFFSET($E$772,0,$D$7-5))+OFFSET($E$626,0,$D$7-5)-OFFSET($E$813,0,$D$7-5)-OFFSET($E$815,0,$D$7-5)=0),1,2),1),0)</f>
        <v>5214462.9990765415</v>
      </c>
      <c r="Q521" s="967">
        <f ca="1">IF(AND(Q$5=-99,NoResCol=1),IF(UsePerpetuity=1,Q$772-Q$825+Q$626-Q$813-Q$815,0),(IF(NABase&lt;3,IF(Q$1022=0,0,OFFSET(Q$772,0,Q$1022)-OFFSET(Q$825,0,Q$1022)+OFFSET(Q$626,0,Q$1022)-OFFSET(Q$813,0,Q$1022)-OFFSET(Q$815,0,Q$1022)),0)+IF(OR(NABase=1,NABase=3),Q$772-Q$825+Q$626-Q$813-Q$815,0))/IF(NABase=1,2,1))</f>
        <v>2472386.3834508331</v>
      </c>
      <c r="R521" s="321"/>
      <c r="S521" s="319" t="s">
        <v>903</v>
      </c>
    </row>
    <row r="522" spans="1:19" ht="11.25" hidden="1" customHeight="1" x14ac:dyDescent="0.35">
      <c r="A522" s="235"/>
      <c r="B522" s="474" t="str">
        <f ca="1">SpecsTxt!$F$32&amp;", "&amp;CHOOSE(NABase,SpecsTxt!$B$32,SpecsTxt!$C$32,SpecsTxt!$D$32)</f>
        <v>Capital charge on net assets, average</v>
      </c>
      <c r="C522" s="466"/>
      <c r="D522" s="1152"/>
      <c r="E522" s="480" t="s">
        <v>907</v>
      </c>
      <c r="F522" s="962">
        <f ca="1">F521*DiscYear/100</f>
        <v>0</v>
      </c>
      <c r="G522" s="962"/>
      <c r="H522" s="962">
        <f t="shared" ref="H522:P522" ca="1" si="259">H521*IF(VariableRate=1,H$1061,DiscYear)/100</f>
        <v>0</v>
      </c>
      <c r="I522" s="962">
        <f t="shared" ca="1" si="259"/>
        <v>0</v>
      </c>
      <c r="J522" s="962">
        <f t="shared" ca="1" si="259"/>
        <v>0</v>
      </c>
      <c r="K522" s="962">
        <f t="shared" ca="1" si="259"/>
        <v>113966.16701665521</v>
      </c>
      <c r="L522" s="962">
        <f t="shared" ca="1" si="259"/>
        <v>112661.47637369166</v>
      </c>
      <c r="M522" s="962">
        <f t="shared" ca="1" si="259"/>
        <v>114283.18584418505</v>
      </c>
      <c r="N522" s="962">
        <f t="shared" ca="1" si="259"/>
        <v>120706.54426068919</v>
      </c>
      <c r="O522" s="962">
        <f t="shared" ca="1" si="259"/>
        <v>130092.37682676612</v>
      </c>
      <c r="P522" s="962">
        <f t="shared" ca="1" si="259"/>
        <v>143397.73247460488</v>
      </c>
      <c r="Q522" s="407">
        <v>0</v>
      </c>
      <c r="R522" s="321"/>
      <c r="S522" s="319" t="s">
        <v>903</v>
      </c>
    </row>
    <row r="523" spans="1:19" ht="11.25" hidden="1" customHeight="1" x14ac:dyDescent="0.35">
      <c r="A523" s="235"/>
      <c r="B523" s="481" t="s">
        <v>908</v>
      </c>
      <c r="C523" s="481"/>
      <c r="D523" s="482"/>
      <c r="E523" s="473" t="s">
        <v>909</v>
      </c>
      <c r="F523" s="483"/>
      <c r="G523" s="483"/>
      <c r="H523" s="483"/>
      <c r="I523" s="483"/>
      <c r="J523" s="483"/>
      <c r="K523" s="483"/>
      <c r="L523" s="483"/>
      <c r="M523" s="483"/>
      <c r="N523" s="483"/>
      <c r="O523" s="483"/>
      <c r="P523" s="483"/>
      <c r="Q523" s="483"/>
      <c r="R523" s="321"/>
      <c r="S523" s="319" t="s">
        <v>658</v>
      </c>
    </row>
    <row r="524" spans="1:19" ht="11.25" hidden="1" customHeight="1" x14ac:dyDescent="0.35">
      <c r="A524" s="235"/>
      <c r="B524" s="484" t="s">
        <v>910</v>
      </c>
      <c r="C524" s="485"/>
      <c r="D524" s="1146"/>
      <c r="E524" s="486" t="s">
        <v>911</v>
      </c>
      <c r="F524" s="983"/>
      <c r="G524" s="983"/>
      <c r="H524" s="983">
        <f t="shared" ref="H524:Q524" ca="1" si="260">H504+H505</f>
        <v>81833.333333333328</v>
      </c>
      <c r="I524" s="983">
        <f t="shared" ca="1" si="260"/>
        <v>64168.581755277803</v>
      </c>
      <c r="J524" s="983">
        <f t="shared" ca="1" si="260"/>
        <v>67919.631331726385</v>
      </c>
      <c r="K524" s="983">
        <f t="shared" ca="1" si="260"/>
        <v>71754.555263392191</v>
      </c>
      <c r="L524" s="983">
        <f t="shared" ca="1" si="260"/>
        <v>1681966.9623718653</v>
      </c>
      <c r="M524" s="983">
        <f t="shared" ref="M524:N524" ca="1" si="261">M504+M505</f>
        <v>2704537.6539055351</v>
      </c>
      <c r="N524" s="983">
        <f t="shared" ca="1" si="261"/>
        <v>3956917.2197842803</v>
      </c>
      <c r="O524" s="983">
        <f t="shared" ref="O524:P524" ca="1" si="262">O504+O505</f>
        <v>5458958.1645482406</v>
      </c>
      <c r="P524" s="983">
        <f t="shared" ca="1" si="262"/>
        <v>7297084.0543059707</v>
      </c>
      <c r="Q524" s="421">
        <f t="shared" ca="1" si="260"/>
        <v>-1067306.4778645835</v>
      </c>
      <c r="R524" s="321"/>
      <c r="S524" s="319" t="s">
        <v>663</v>
      </c>
    </row>
    <row r="525" spans="1:19" ht="11.25" hidden="1" customHeight="1" x14ac:dyDescent="0.35">
      <c r="A525" s="235"/>
      <c r="B525" s="487" t="s">
        <v>647</v>
      </c>
      <c r="C525" s="488"/>
      <c r="D525" s="1147"/>
      <c r="E525" s="469" t="s">
        <v>912</v>
      </c>
      <c r="F525" s="977"/>
      <c r="G525" s="977"/>
      <c r="H525" s="977">
        <f ca="1">IF(OR(AND(H$5=0,NoZeroCol=1),AND(H$5=-99,NoResCol=1)),0,SUM($G$331:H$331)+SUM($G$425:H$425)+IF(GWtype=2,SUM($G$1023:H$1023),0)-SUM($G525:OFFSET(H525,0,-1)))</f>
        <v>0</v>
      </c>
      <c r="I525" s="977">
        <f ca="1">IF(OR(AND(I$5=0,NoZeroCol=1),AND(I$5=-99,NoResCol=1)),0,SUM($G$331:I$331)+SUM($G$425:I$425)+IF(GWtype=2,SUM($G$1023:I$1023),0)-SUM($G525:OFFSET(I525,0,-1)))</f>
        <v>0</v>
      </c>
      <c r="J525" s="977">
        <f ca="1">IF(OR(AND(J$5=0,NoZeroCol=1),AND(J$5=-99,NoResCol=1)),0,SUM($G$331:J$331)+SUM($G$425:J$425)+IF(GWtype=2,SUM($G$1023:J$1023),0)-SUM($G525:OFFSET(J525,0,-1)))</f>
        <v>0</v>
      </c>
      <c r="K525" s="977">
        <f ca="1">IF(OR(AND(K$5=0,NoZeroCol=1),AND(K$5=-99,NoResCol=1)),0,SUM($G$331:K$331)+SUM($G$425:K$425)+IF(GWtype=2,SUM($G$1023:K$1023),0)-SUM($G525:OFFSET(K525,0,-1)))</f>
        <v>0</v>
      </c>
      <c r="L525" s="977">
        <f ca="1">IF(OR(AND(L$5=0,NoZeroCol=1),AND(L$5=-99,NoResCol=1)),0,SUM($G$331:L$331)+SUM($G$425:L$425)+IF(GWtype=2,SUM($G$1023:L$1023),0)-SUM($G525:OFFSET(L525,0,-1)))</f>
        <v>0</v>
      </c>
      <c r="M525" s="977">
        <f ca="1">IF(OR(AND(M$5=0,NoZeroCol=1),AND(M$5=-99,NoResCol=1)),0,SUM($G$331:M$331)+SUM($G$425:M$425)+IF(GWtype=2,SUM($G$1023:M$1023),0)-SUM($G525:OFFSET(M525,0,-1)))</f>
        <v>0</v>
      </c>
      <c r="N525" s="977">
        <f ca="1">IF(OR(AND(N$5=0,NoZeroCol=1),AND(N$5=-99,NoResCol=1)),0,SUM($G$331:N$331)+SUM($G$425:N$425)+IF(GWtype=2,SUM($G$1023:N$1023),0)-SUM($G525:OFFSET(N525,0,-1)))</f>
        <v>0</v>
      </c>
      <c r="O525" s="977">
        <f ca="1">IF(OR(AND(O$5=0,NoZeroCol=1),AND(O$5=-99,NoResCol=1)),0,SUM($G$331:O$331)+SUM($G$425:O$425)+IF(GWtype=2,SUM($G$1023:O$1023),0)-SUM($G525:OFFSET(O525,0,-1)))</f>
        <v>0</v>
      </c>
      <c r="P525" s="977">
        <f ca="1">IF(OR(AND(P$5=0,NoZeroCol=1),AND(P$5=-99,NoResCol=1)),0,SUM($G$331:P$331)+SUM($G$425:P$425)+IF(GWtype=2,SUM($G$1023:P$1023),0)-SUM($G525:OFFSET(P525,0,-1)))</f>
        <v>0</v>
      </c>
      <c r="Q525" s="408">
        <f>IF(OR(AND(Q$5=0,NoZeroCol=1),AND(Q$5=-99,NoResCol=1)),0,Q$331+Q$425+IF(GWtype=2,Q$1023,0))</f>
        <v>0</v>
      </c>
      <c r="R525" s="321"/>
      <c r="S525" s="319" t="s">
        <v>663</v>
      </c>
    </row>
    <row r="526" spans="1:19" ht="11.25" hidden="1" customHeight="1" x14ac:dyDescent="0.35">
      <c r="A526" s="235"/>
      <c r="B526" s="489" t="s">
        <v>913</v>
      </c>
      <c r="C526" s="482"/>
      <c r="D526" s="1148"/>
      <c r="E526" s="473" t="s">
        <v>914</v>
      </c>
      <c r="F526" s="979"/>
      <c r="G526" s="979"/>
      <c r="H526" s="979">
        <f ca="1">IF(OR(AND(H$5=0,NoZeroCol=1),AND(H$5=-99,NoResCol=1)),0,SUM($G$332:H$332)+SUM($G$432:H$432)-SUM($G526:OFFSET(H526,0,-1)))</f>
        <v>0</v>
      </c>
      <c r="I526" s="979">
        <f ca="1">IF(OR(AND(I$5=0,NoZeroCol=1),AND(I$5=-99,NoResCol=1)),0,SUM($G$332:I$332)+SUM($G$432:I$432)-SUM($G526:OFFSET(I526,0,-1)))</f>
        <v>0</v>
      </c>
      <c r="J526" s="979">
        <f ca="1">IF(OR(AND(J$5=0,NoZeroCol=1),AND(J$5=-99,NoResCol=1)),0,SUM($G$332:J$332)+SUM($G$432:J$432)-SUM($G526:OFFSET(J526,0,-1)))</f>
        <v>0</v>
      </c>
      <c r="K526" s="979">
        <f ca="1">IF(OR(AND(K$5=0,NoZeroCol=1),AND(K$5=-99,NoResCol=1)),0,SUM($G$332:K$332)+SUM($G$432:K$432)-SUM($G526:OFFSET(K526,0,-1)))</f>
        <v>0</v>
      </c>
      <c r="L526" s="979">
        <f ca="1">IF(OR(AND(L$5=0,NoZeroCol=1),AND(L$5=-99,NoResCol=1)),0,SUM($G$332:L$332)+SUM($G$432:L$432)-SUM($G526:OFFSET(L526,0,-1)))</f>
        <v>0</v>
      </c>
      <c r="M526" s="979">
        <f ca="1">IF(OR(AND(M$5=0,NoZeroCol=1),AND(M$5=-99,NoResCol=1)),0,SUM($G$332:M$332)+SUM($G$432:M$432)-SUM($G526:OFFSET(M526,0,-1)))</f>
        <v>0</v>
      </c>
      <c r="N526" s="979">
        <f ca="1">IF(OR(AND(N$5=0,NoZeroCol=1),AND(N$5=-99,NoResCol=1)),0,SUM($G$332:N$332)+SUM($G$432:N$432)-SUM($G526:OFFSET(N526,0,-1)))</f>
        <v>0</v>
      </c>
      <c r="O526" s="979">
        <f ca="1">IF(OR(AND(O$5=0,NoZeroCol=1),AND(O$5=-99,NoResCol=1)),0,SUM($G$332:O$332)+SUM($G$432:O$432)-SUM($G526:OFFSET(O526,0,-1)))</f>
        <v>0</v>
      </c>
      <c r="P526" s="979">
        <f ca="1">IF(OR(AND(P$5=0,NoZeroCol=1),AND(P$5=-99,NoResCol=1)),0,SUM($G$332:P$332)+SUM($G$432:P$432)-SUM($G526:OFFSET(P526,0,-1)))</f>
        <v>0</v>
      </c>
      <c r="Q526" s="409">
        <f>IF(OR(AND(Q$5=0,NoZeroCol=1),AND(Q$5=-99,NoResCol=1)),0,Q$332+Q$432)</f>
        <v>0</v>
      </c>
      <c r="R526" s="321"/>
      <c r="S526" s="319" t="s">
        <v>663</v>
      </c>
    </row>
    <row r="527" spans="1:19" ht="11.25" hidden="1" customHeight="1" x14ac:dyDescent="0.35">
      <c r="A527" s="235"/>
      <c r="B527" s="490" t="s">
        <v>915</v>
      </c>
      <c r="C527" s="491"/>
      <c r="D527" s="1149"/>
      <c r="E527" s="463" t="s">
        <v>916</v>
      </c>
      <c r="F527" s="981"/>
      <c r="G527" s="981"/>
      <c r="H527" s="981">
        <f t="shared" ref="H527:Q527" ca="1" si="263">CalculatedTax2+OFFSET($E$509,0,H$8)</f>
        <v>0</v>
      </c>
      <c r="I527" s="981">
        <f t="shared" ca="1" si="263"/>
        <v>0</v>
      </c>
      <c r="J527" s="981">
        <f t="shared" ca="1" si="263"/>
        <v>0</v>
      </c>
      <c r="K527" s="981">
        <f t="shared" ca="1" si="263"/>
        <v>-79989.30847144431</v>
      </c>
      <c r="L527" s="981">
        <f t="shared" ca="1" si="263"/>
        <v>-470950.74946412235</v>
      </c>
      <c r="M527" s="981">
        <f t="shared" ca="1" si="263"/>
        <v>-757270.54309355002</v>
      </c>
      <c r="N527" s="981">
        <f t="shared" ca="1" si="263"/>
        <v>-1107936.8215395985</v>
      </c>
      <c r="O527" s="981">
        <f t="shared" ca="1" si="263"/>
        <v>-1528508.2860735075</v>
      </c>
      <c r="P527" s="981">
        <f t="shared" ca="1" si="263"/>
        <v>-2043183.535205672</v>
      </c>
      <c r="Q527" s="975">
        <f t="shared" ca="1" si="263"/>
        <v>0</v>
      </c>
      <c r="R527" s="321"/>
      <c r="S527" s="319" t="s">
        <v>663</v>
      </c>
    </row>
    <row r="528" spans="1:19" ht="11.25" hidden="1" customHeight="1" x14ac:dyDescent="0.35">
      <c r="A528" s="235"/>
      <c r="B528" s="487" t="s">
        <v>917</v>
      </c>
      <c r="C528" s="482"/>
      <c r="D528" s="1148"/>
      <c r="E528" s="473" t="s">
        <v>918</v>
      </c>
      <c r="F528" s="979"/>
      <c r="G528" s="979"/>
      <c r="H528" s="979">
        <f t="shared" ref="H528:P528" ca="1" si="264">SUM(H$524:H$527)</f>
        <v>81833.333333333328</v>
      </c>
      <c r="I528" s="979">
        <f t="shared" ca="1" si="264"/>
        <v>64168.581755277803</v>
      </c>
      <c r="J528" s="979">
        <f t="shared" ca="1" si="264"/>
        <v>67919.631331726385</v>
      </c>
      <c r="K528" s="979">
        <f t="shared" ca="1" si="264"/>
        <v>-8234.7532080521196</v>
      </c>
      <c r="L528" s="979">
        <f t="shared" ca="1" si="264"/>
        <v>1211016.2129077429</v>
      </c>
      <c r="M528" s="979">
        <f t="shared" ca="1" si="264"/>
        <v>1947267.1108119851</v>
      </c>
      <c r="N528" s="979">
        <f t="shared" ca="1" si="264"/>
        <v>2848980.3982446818</v>
      </c>
      <c r="O528" s="979">
        <f t="shared" ca="1" si="264"/>
        <v>3930449.8784747329</v>
      </c>
      <c r="P528" s="979">
        <f t="shared" ca="1" si="264"/>
        <v>5253900.5191002991</v>
      </c>
      <c r="Q528" s="409">
        <f ca="1">IF(NoResCol&lt;&gt;1,SUM(Q$524:Q$527),0)</f>
        <v>-1067306.4778645835</v>
      </c>
      <c r="R528" s="321"/>
      <c r="S528" s="319" t="s">
        <v>679</v>
      </c>
    </row>
    <row r="529" spans="1:19" ht="11.25" hidden="1" customHeight="1" x14ac:dyDescent="0.35">
      <c r="A529" s="235"/>
      <c r="B529" s="490" t="s">
        <v>885</v>
      </c>
      <c r="C529" s="491"/>
      <c r="D529" s="1149"/>
      <c r="E529" s="463" t="s">
        <v>919</v>
      </c>
      <c r="F529" s="981"/>
      <c r="G529" s="981"/>
      <c r="H529" s="981">
        <f ca="1">-IF(AND(SUM(OFFSET($E$337,0,$G$8):OFFSET($E$337,0,H$8))&lt;100,SUM(OFFSET($E$337,0,$G$8):OFFSET($E$337,0,H$8))&gt;=50),((100-SUM(OFFSET($E$337,0,$G$8):OFFSET($E$337,0,H$8)))/100)*H$528,0)+OFFSET($E$510,0,H$8)</f>
        <v>0</v>
      </c>
      <c r="I529" s="981">
        <f ca="1">-IF(AND(SUM(OFFSET($E$337,0,$G$8):OFFSET($E$337,0,I$8))&lt;100,SUM(OFFSET($E$337,0,$G$8):OFFSET($E$337,0,I$8))&gt;=50),((100-SUM(OFFSET($E$337,0,$G$8):OFFSET($E$337,0,I$8)))/100)*I$528,0)+OFFSET($E$510,0,I$8)</f>
        <v>0</v>
      </c>
      <c r="J529" s="981">
        <f ca="1">-IF(AND(SUM(OFFSET($E$337,0,$G$8):OFFSET($E$337,0,J$8))&lt;100,SUM(OFFSET($E$337,0,$G$8):OFFSET($E$337,0,J$8))&gt;=50),((100-SUM(OFFSET($E$337,0,$G$8):OFFSET($E$337,0,J$8)))/100)*J$528,0)+OFFSET($E$510,0,J$8)</f>
        <v>0</v>
      </c>
      <c r="K529" s="981">
        <f ca="1">-IF(AND(SUM(OFFSET($E$337,0,$G$8):OFFSET($E$337,0,K$8))&lt;100,SUM(OFFSET($E$337,0,$G$8):OFFSET($E$337,0,K$8))&gt;=50),((100-SUM(OFFSET($E$337,0,$G$8):OFFSET($E$337,0,K$8)))/100)*K$528,0)+OFFSET($E$510,0,K$8)</f>
        <v>0</v>
      </c>
      <c r="L529" s="981">
        <f ca="1">-IF(AND(SUM(OFFSET($E$337,0,$G$8):OFFSET($E$337,0,L$8))&lt;100,SUM(OFFSET($E$337,0,$G$8):OFFSET($E$337,0,L$8))&gt;=50),((100-SUM(OFFSET($E$337,0,$G$8):OFFSET($E$337,0,L$8)))/100)*L$528,0)+OFFSET($E$510,0,L$8)</f>
        <v>0</v>
      </c>
      <c r="M529" s="981">
        <f ca="1">-IF(AND(SUM(OFFSET($E$337,0,$G$8):OFFSET($E$337,0,M$8))&lt;100,SUM(OFFSET($E$337,0,$G$8):OFFSET($E$337,0,M$8))&gt;=50),((100-SUM(OFFSET($E$337,0,$G$8):OFFSET($E$337,0,M$8)))/100)*M$528,0)+OFFSET($E$510,0,M$8)</f>
        <v>0</v>
      </c>
      <c r="N529" s="981">
        <f ca="1">-IF(AND(SUM(OFFSET($E$337,0,$G$8):OFFSET($E$337,0,N$8))&lt;100,SUM(OFFSET($E$337,0,$G$8):OFFSET($E$337,0,N$8))&gt;=50),((100-SUM(OFFSET($E$337,0,$G$8):OFFSET($E$337,0,N$8)))/100)*N$528,0)+OFFSET($E$510,0,N$8)</f>
        <v>0</v>
      </c>
      <c r="O529" s="981">
        <f ca="1">-IF(AND(SUM(OFFSET($E$337,0,$G$8):OFFSET($E$337,0,O$8))&lt;100,SUM(OFFSET($E$337,0,$G$8):OFFSET($E$337,0,O$8))&gt;=50),((100-SUM(OFFSET($E$337,0,$G$8):OFFSET($E$337,0,O$8)))/100)*O$528,0)+OFFSET($E$510,0,O$8)</f>
        <v>0</v>
      </c>
      <c r="P529" s="981">
        <f ca="1">-IF(AND(SUM(OFFSET($E$337,0,$G$8):OFFSET($E$337,0,P$8))&lt;100,SUM(OFFSET($E$337,0,$G$8):OFFSET($E$337,0,P$8))&gt;=50),((100-SUM(OFFSET($E$337,0,$G$8):OFFSET($E$337,0,P$8)))/100)*P$528,0)+OFFSET($E$510,0,P$8)</f>
        <v>0</v>
      </c>
      <c r="Q529" s="975"/>
      <c r="R529" s="321"/>
      <c r="S529" s="319" t="s">
        <v>679</v>
      </c>
    </row>
    <row r="530" spans="1:19" ht="11.25" hidden="1" customHeight="1" x14ac:dyDescent="0.35">
      <c r="A530" s="235"/>
      <c r="B530" s="484" t="s">
        <v>920</v>
      </c>
      <c r="C530" s="485"/>
      <c r="D530" s="1146"/>
      <c r="E530" s="486" t="s">
        <v>921</v>
      </c>
      <c r="F530" s="983"/>
      <c r="G530" s="983"/>
      <c r="H530" s="983">
        <f ca="1">IF(H$1=FinMonth,SUM($G$528:H$529)-SUM($G530:OFFSET(H530,0,-1)),0)</f>
        <v>0</v>
      </c>
      <c r="I530" s="983">
        <f ca="1">IF(I$1=FinMonth,SUM($G$528:I$529)-SUM($G530:OFFSET(I530,0,-1)),0)</f>
        <v>0</v>
      </c>
      <c r="J530" s="983">
        <f ca="1">IF(J$1=FinMonth,SUM($G$528:J$529)-SUM($G530:OFFSET(J530,0,-1)),0)</f>
        <v>0</v>
      </c>
      <c r="K530" s="983">
        <f ca="1">IF(K$1=FinMonth,SUM($G$528:K$529)-SUM($G530:OFFSET(K530,0,-1)),0)</f>
        <v>205686.79321228538</v>
      </c>
      <c r="L530" s="983">
        <f ca="1">IF(L$1=FinMonth,SUM($G$528:L$529)-SUM($G530:OFFSET(L530,0,-1)),0)</f>
        <v>1211016.2129077432</v>
      </c>
      <c r="M530" s="983">
        <f ca="1">IF(M$1=FinMonth,SUM($G$528:M$529)-SUM($G530:OFFSET(M530,0,-1)),0)</f>
        <v>1947267.1108119851</v>
      </c>
      <c r="N530" s="983">
        <f ca="1">IF(N$1=FinMonth,SUM($G$528:N$529)-SUM($G530:OFFSET(N530,0,-1)),0)</f>
        <v>2848980.3982446813</v>
      </c>
      <c r="O530" s="983">
        <f ca="1">IF(O$1=FinMonth,SUM($G$528:O$529)-SUM($G530:OFFSET(O530,0,-1)),0)</f>
        <v>3930449.8784747329</v>
      </c>
      <c r="P530" s="983">
        <f ca="1">IF(P$1=FinMonth,SUM($G$528:P$529)-SUM($G530:OFFSET(P530,0,-1)),0)</f>
        <v>5253900.5191002991</v>
      </c>
      <c r="Q530" s="421">
        <f ca="1">IF(Q$1=FinMonth,SUM($G$528:Q$529)-SUM($G530:OFFSET(Q530,0,-1)),0)</f>
        <v>-1067306.477864584</v>
      </c>
      <c r="R530" s="321"/>
      <c r="S530" s="319" t="s">
        <v>658</v>
      </c>
    </row>
    <row r="531" spans="1:19" ht="11.25" hidden="1" customHeight="1" x14ac:dyDescent="0.35">
      <c r="A531" s="434"/>
      <c r="B531" s="492" t="s">
        <v>922</v>
      </c>
      <c r="C531" s="493"/>
      <c r="D531" s="1147"/>
      <c r="E531" s="469" t="s">
        <v>923</v>
      </c>
      <c r="F531" s="1048"/>
      <c r="G531" s="1048"/>
      <c r="H531" s="1049" t="str">
        <f t="shared" ref="H531:P531" si="265">IF(OR(H$1=FinMonth,H$16=LastPeriod),IF(H$537&lt;&gt;0,CHOOSE(RonaBAT,H$535,H$536,H$530)/H$537,"-"),"-")</f>
        <v>-</v>
      </c>
      <c r="I531" s="1049" t="str">
        <f t="shared" si="265"/>
        <v>-</v>
      </c>
      <c r="J531" s="1049" t="str">
        <f t="shared" si="265"/>
        <v>-</v>
      </c>
      <c r="K531" s="1049">
        <f t="shared" ca="1" si="265"/>
        <v>6.893355284252442E-2</v>
      </c>
      <c r="L531" s="1049">
        <f t="shared" ca="1" si="265"/>
        <v>0.41055818682691603</v>
      </c>
      <c r="M531" s="1049">
        <f t="shared" ca="1" si="265"/>
        <v>0.650793771043499</v>
      </c>
      <c r="N531" s="1049">
        <f t="shared" ca="1" si="265"/>
        <v>0.90148569997215833</v>
      </c>
      <c r="O531" s="1049">
        <f t="shared" ca="1" si="265"/>
        <v>1.1539596184408369</v>
      </c>
      <c r="P531" s="1049">
        <f t="shared" ca="1" si="265"/>
        <v>1.3993931984172201</v>
      </c>
      <c r="Q531" s="1046">
        <f ca="1">IF(AND(Q$5=-99,NoResCol=1),0,IF(Q$537&lt;&gt;0,CHOOSE(RonaBAT,Q$535,Q$536,Q$530)/Q$537,"-"))</f>
        <v>-0.86338161786418721</v>
      </c>
      <c r="R531" s="381"/>
      <c r="S531" s="319" t="s">
        <v>679</v>
      </c>
    </row>
    <row r="532" spans="1:19" ht="11.25" hidden="1" customHeight="1" x14ac:dyDescent="0.35">
      <c r="A532" s="235"/>
      <c r="B532" s="494" t="s">
        <v>924</v>
      </c>
      <c r="C532" s="495"/>
      <c r="D532" s="1149"/>
      <c r="E532" s="463" t="s">
        <v>925</v>
      </c>
      <c r="F532" s="981"/>
      <c r="G532" s="981"/>
      <c r="H532" s="1050" t="str">
        <f t="shared" ref="H532:P532" si="266">IF(OR(H$1=FinMonth,H$16=LastPeriod),CHOOSE(EvaBAT,H$535,H$536,H$530)-H$538,"-")</f>
        <v>-</v>
      </c>
      <c r="I532" s="1050" t="str">
        <f t="shared" si="266"/>
        <v>-</v>
      </c>
      <c r="J532" s="1050" t="str">
        <f t="shared" si="266"/>
        <v>-</v>
      </c>
      <c r="K532" s="1050">
        <f t="shared" ca="1" si="266"/>
        <v>91720.626195630175</v>
      </c>
      <c r="L532" s="1050">
        <f t="shared" ca="1" si="266"/>
        <v>1098354.7365340514</v>
      </c>
      <c r="M532" s="1050">
        <f t="shared" ca="1" si="266"/>
        <v>1832983.9249678</v>
      </c>
      <c r="N532" s="1050">
        <f t="shared" ca="1" si="266"/>
        <v>2728273.8539839927</v>
      </c>
      <c r="O532" s="1050">
        <f t="shared" ca="1" si="266"/>
        <v>3800357.5016479669</v>
      </c>
      <c r="P532" s="1050">
        <f t="shared" ca="1" si="266"/>
        <v>5110502.7866256945</v>
      </c>
      <c r="Q532" s="1047">
        <f ca="1">IF(AND(Q$5=-99,NoResCol=1),IF(UsePerpetuity=1,PerpetuityValue-Q$537,0),CHOOSE(EvaBAT,Q$535,Q$536,Q$530)-Q$538)</f>
        <v>-768460.6640625</v>
      </c>
      <c r="R532" s="321"/>
      <c r="S532" s="319" t="s">
        <v>679</v>
      </c>
    </row>
    <row r="533" spans="1:19" ht="11.25" hidden="1" customHeight="1" x14ac:dyDescent="0.35">
      <c r="A533" s="235"/>
      <c r="B533" s="496" t="s">
        <v>926</v>
      </c>
      <c r="C533" s="481"/>
      <c r="D533" s="1148"/>
      <c r="E533" s="473" t="s">
        <v>927</v>
      </c>
      <c r="F533" s="979"/>
      <c r="G533" s="979"/>
      <c r="H533" s="977" t="str">
        <f t="shared" ref="H533:P533" si="267">IF(SUM(H532)&lt;&gt;0,H532*IF(H$5&lt;=CalcPoint,IF(DontCompound=1,1,(1+IF(VariableRate=1,H$1062,DiscMonth))^IF(MYDisc,H$1066,H$1064)),1/((1+IF(VariableRate=1,H$1062,DiscMonth))^IF(MYDisc,H$1066,H$1064))),"-")</f>
        <v>-</v>
      </c>
      <c r="I533" s="977" t="str">
        <f t="shared" si="267"/>
        <v>-</v>
      </c>
      <c r="J533" s="977" t="str">
        <f t="shared" si="267"/>
        <v>-</v>
      </c>
      <c r="K533" s="977">
        <f t="shared" ca="1" si="267"/>
        <v>90894.945637515746</v>
      </c>
      <c r="L533" s="977">
        <f t="shared" ca="1" si="267"/>
        <v>1059335.4839022411</v>
      </c>
      <c r="M533" s="977">
        <f t="shared" ca="1" si="267"/>
        <v>1720551.6654360658</v>
      </c>
      <c r="N533" s="977">
        <f t="shared" ca="1" si="267"/>
        <v>2492385.3654640047</v>
      </c>
      <c r="O533" s="977">
        <f t="shared" ca="1" si="267"/>
        <v>3378857.3256617533</v>
      </c>
      <c r="P533" s="977">
        <f t="shared" ca="1" si="267"/>
        <v>4422086.1571216471</v>
      </c>
      <c r="Q533" s="408">
        <f ca="1">IF(AND(NoResCol=1,UsePerpetuity&lt;&gt;1),0,IF(SUM(Q532)&lt;&gt;0,Q532*IF(OFFSET(Q$5,0,-1)&lt;=CalcPoint,IF(DontCompound=1,1,(1+IF(VariableRate=1,Q$1062,DiscMonth))^IF(MYDisc,Q$1066,Q$1064)),1/((1+IF(VariableRate=1,Q$1062,DiscMonth))^IF(MYDisc,Q$1066,Q$1064))),"-"))</f>
        <v>-664944.21522212203</v>
      </c>
      <c r="R533" s="321"/>
      <c r="S533" s="319" t="s">
        <v>928</v>
      </c>
    </row>
    <row r="534" spans="1:19" ht="11.25" hidden="1" customHeight="1" x14ac:dyDescent="0.35">
      <c r="A534" s="235"/>
      <c r="B534" s="496" t="s">
        <v>929</v>
      </c>
      <c r="C534" s="481"/>
      <c r="D534" s="1148"/>
      <c r="E534" s="473" t="s">
        <v>930</v>
      </c>
      <c r="F534" s="979"/>
      <c r="G534" s="979"/>
      <c r="H534" s="981">
        <f t="shared" ref="H534:Q534" ca="1" si="268">SUM(H533)+OFFSET(H534,0,-1)</f>
        <v>0</v>
      </c>
      <c r="I534" s="981">
        <f t="shared" ca="1" si="268"/>
        <v>0</v>
      </c>
      <c r="J534" s="981">
        <f t="shared" ca="1" si="268"/>
        <v>0</v>
      </c>
      <c r="K534" s="981">
        <f t="shared" ca="1" si="268"/>
        <v>90894.945637515746</v>
      </c>
      <c r="L534" s="981">
        <f t="shared" ca="1" si="268"/>
        <v>1150230.4295397568</v>
      </c>
      <c r="M534" s="981">
        <f t="shared" ref="M534:N534" ca="1" si="269">SUM(M533)+OFFSET(M534,0,-1)</f>
        <v>2870782.0949758226</v>
      </c>
      <c r="N534" s="981">
        <f t="shared" ca="1" si="269"/>
        <v>5363167.4604398273</v>
      </c>
      <c r="O534" s="981">
        <f t="shared" ref="O534:P534" ca="1" si="270">SUM(O533)+OFFSET(O534,0,-1)</f>
        <v>8742024.7861015797</v>
      </c>
      <c r="P534" s="981">
        <f t="shared" ca="1" si="270"/>
        <v>13164110.943223227</v>
      </c>
      <c r="Q534" s="975">
        <f t="shared" ca="1" si="268"/>
        <v>12499166.728001105</v>
      </c>
      <c r="R534" s="321"/>
      <c r="S534" s="319" t="s">
        <v>928</v>
      </c>
    </row>
    <row r="535" spans="1:19" ht="11.25" hidden="1" customHeight="1" x14ac:dyDescent="0.35">
      <c r="A535" s="235"/>
      <c r="B535" s="487" t="s">
        <v>931</v>
      </c>
      <c r="C535" s="488"/>
      <c r="D535" s="1150"/>
      <c r="E535" s="469" t="s">
        <v>932</v>
      </c>
      <c r="F535" s="977"/>
      <c r="G535" s="977"/>
      <c r="H535" s="977" t="str">
        <f t="shared" ref="H535:P535" si="271">IF(OR(H$1=FinMonth,H$16=LastPeriod),H$495+H$1023+H$425+SUM(H$1219:H$1220),"-")</f>
        <v>-</v>
      </c>
      <c r="I535" s="977" t="str">
        <f t="shared" si="271"/>
        <v>-</v>
      </c>
      <c r="J535" s="977" t="str">
        <f t="shared" si="271"/>
        <v>-</v>
      </c>
      <c r="K535" s="977">
        <f t="shared" ca="1" si="271"/>
        <v>285676.10168372968</v>
      </c>
      <c r="L535" s="977">
        <f t="shared" ca="1" si="271"/>
        <v>1681966.9623718653</v>
      </c>
      <c r="M535" s="977">
        <f t="shared" ca="1" si="271"/>
        <v>2704537.6539055351</v>
      </c>
      <c r="N535" s="977">
        <f t="shared" ca="1" si="271"/>
        <v>3956917.2197842803</v>
      </c>
      <c r="O535" s="977">
        <f t="shared" ca="1" si="271"/>
        <v>5458958.1645482406</v>
      </c>
      <c r="P535" s="977">
        <f t="shared" ca="1" si="271"/>
        <v>7297084.0543059707</v>
      </c>
      <c r="Q535" s="408">
        <f ca="1">Q$494+Q$425+Q$1023+SUM(Q$1219:Q$1220)</f>
        <v>-1067306.4778645835</v>
      </c>
      <c r="R535" s="321"/>
      <c r="S535" s="319" t="s">
        <v>933</v>
      </c>
    </row>
    <row r="536" spans="1:19" ht="11.25" hidden="1" customHeight="1" x14ac:dyDescent="0.35">
      <c r="A536" s="235"/>
      <c r="B536" s="489" t="s">
        <v>934</v>
      </c>
      <c r="C536" s="482"/>
      <c r="D536" s="1139"/>
      <c r="E536" s="473" t="s">
        <v>935</v>
      </c>
      <c r="F536" s="979"/>
      <c r="G536" s="979"/>
      <c r="H536" s="979" t="str">
        <f t="shared" ref="H536:P536" si="272">IF(OR(H$1=FinMonth,H$16=LastPeriod),H$495+H$1023+H$425+SUM(H$1219:H$1220)-(H$495+H$1023+SUM(H$1219:H$1220))*TaxRateM,"-")</f>
        <v>-</v>
      </c>
      <c r="I536" s="979" t="str">
        <f t="shared" si="272"/>
        <v>-</v>
      </c>
      <c r="J536" s="979" t="str">
        <f t="shared" si="272"/>
        <v>-</v>
      </c>
      <c r="K536" s="979">
        <f t="shared" ca="1" si="272"/>
        <v>205686.79321228538</v>
      </c>
      <c r="L536" s="979">
        <f t="shared" ca="1" si="272"/>
        <v>1211016.2129077429</v>
      </c>
      <c r="M536" s="979">
        <f t="shared" ca="1" si="272"/>
        <v>1947267.1108119851</v>
      </c>
      <c r="N536" s="979">
        <f t="shared" ca="1" si="272"/>
        <v>2848980.3982446818</v>
      </c>
      <c r="O536" s="979">
        <f t="shared" ca="1" si="272"/>
        <v>3930449.8784747329</v>
      </c>
      <c r="P536" s="979">
        <f t="shared" ca="1" si="272"/>
        <v>5253900.5191002991</v>
      </c>
      <c r="Q536" s="409">
        <f ca="1">Q$495+Q$1023+Q$425+SUM(Q$1219:Q$1220)-(Q$495+Q$1023+SUM(Q$1219:Q$1220))*TaxRateM</f>
        <v>-768460.6640625</v>
      </c>
      <c r="R536" s="321"/>
      <c r="S536" s="319" t="s">
        <v>933</v>
      </c>
    </row>
    <row r="537" spans="1:19" ht="11.25" hidden="1" customHeight="1" x14ac:dyDescent="0.35">
      <c r="A537" s="235"/>
      <c r="B537" s="489" t="str">
        <f ca="1">SpecsTxt!$G$32&amp;", "&amp;CHOOSE(NABase,SpecsTxt!$B$32,SpecsTxt!$C$32,SpecsTxt!$D$32)</f>
        <v>Group Net assets, average</v>
      </c>
      <c r="C537" s="482"/>
      <c r="D537" s="1148"/>
      <c r="E537" s="473" t="s">
        <v>936</v>
      </c>
      <c r="F537" s="979"/>
      <c r="G537" s="979"/>
      <c r="H537" s="979">
        <f ca="1">IF(OR(H$1=FinMonth,H$16=LastPeriod),H$521+(IF(NABase&lt;3,IF(H$1022=0,0,SUM(OFFSET(H$782,0,H$1022):OFFSET(H$794,0,H$1022))),0)+IF(OR(NABase=1,NABase=3),SUM(H$782:H$794),0))/IF(NABase=1,2,1),0)</f>
        <v>0</v>
      </c>
      <c r="I537" s="979">
        <f ca="1">IF(OR(I$1=FinMonth,I$16=LastPeriod),I$521+(IF(NABase&lt;3,IF(I$1022=0,0,SUM(OFFSET(I$782,0,I$1022):OFFSET(I$794,0,I$1022))),0)+IF(OR(NABase=1,NABase=3),SUM(I$782:I$794),0))/IF(NABase=1,2,1),0)</f>
        <v>0</v>
      </c>
      <c r="J537" s="979">
        <f ca="1">IF(OR(J$1=FinMonth,J$16=LastPeriod),J$521+(IF(NABase&lt;3,IF(J$1022=0,0,SUM(OFFSET(J$782,0,J$1022):OFFSET(J$794,0,J$1022))),0)+IF(OR(NABase=1,NABase=3),SUM(J$782:J$794),0))/IF(NABase=1,2,1),0)</f>
        <v>0</v>
      </c>
      <c r="K537" s="979">
        <f ca="1">IF(OR(K$1=FinMonth,K$16=LastPeriod),K$521+(IF(NABase&lt;3,IF(K$1022=0,0,SUM(OFFSET(K$782,0,K$1022):OFFSET(K$794,0,K$1022))),0)+IF(OR(NABase=1,NABase=3),SUM(K$782:K$794),0))/IF(NABase=1,2,1),0)</f>
        <v>4144224.2551510986</v>
      </c>
      <c r="L537" s="979">
        <f ca="1">IF(OR(L$1=FinMonth,L$16=LastPeriod),L$521+(IF(NABase&lt;3,IF(L$1022=0,0,SUM(OFFSET(L$782,0,L$1022):OFFSET(L$794,0,L$1022))),0)+IF(OR(NABase=1,NABase=3),SUM(L$782:L$794),0))/IF(NABase=1,2,1),0)</f>
        <v>4096780.9590433338</v>
      </c>
      <c r="M537" s="979">
        <f ca="1">IF(OR(M$1=FinMonth,M$16=LastPeriod),M$521+(IF(NABase&lt;3,IF(M$1022=0,0,SUM(OFFSET(M$782,0,M$1022):OFFSET(M$794,0,M$1022))),0)+IF(OR(NABase=1,NABase=3),SUM(M$782:M$794),0))/IF(NABase=1,2,1),0)</f>
        <v>4155752.2125158203</v>
      </c>
      <c r="N537" s="979">
        <f ca="1">IF(OR(N$1=FinMonth,N$16=LastPeriod),N$521+(IF(NABase&lt;3,IF(N$1022=0,0,SUM(OFFSET(N$782,0,N$1022):OFFSET(N$794,0,N$1022))),0)+IF(OR(NABase=1,NABase=3),SUM(N$782:N$794),0))/IF(NABase=1,2,1),0)</f>
        <v>4389328.8822068796</v>
      </c>
      <c r="O537" s="979">
        <f ca="1">IF(OR(O$1=FinMonth,O$16=LastPeriod),O$521+(IF(NABase&lt;3,IF(O$1022=0,0,SUM(OFFSET(O$782,0,O$1022):OFFSET(O$794,0,O$1022))),0)+IF(OR(NABase=1,NABase=3),SUM(O$782:O$794),0))/IF(NABase=1,2,1),0)</f>
        <v>4730631.8846096769</v>
      </c>
      <c r="P537" s="979">
        <f ca="1">IF(OR(P$1=FinMonth,P$16=LastPeriod),P$521+(IF(NABase&lt;3,IF(P$1022=0,0,SUM(OFFSET(P$782,0,P$1022):OFFSET(P$794,0,P$1022))),0)+IF(OR(NABase=1,NABase=3),SUM(P$782:P$794),0))/IF(NABase=1,2,1),0)</f>
        <v>5214462.9990765415</v>
      </c>
      <c r="Q537" s="409">
        <f ca="1">IF(AND(Q$5=-99,NoResCol=1),IF(UsePerpetuity=1,Q521+SUM(Q$782:Q$794),0),(IF(NABase&lt;3,Q$521+IF(Q$1022=0,0,SUM(OFFSET(Q$782,0,Q$1022):OFFSET(Q$794,0,Q$1022))),0)+IF(OR(NABase=1,NABase=3),SUM(Q$782:Q$794),0))/IF(NABase=1,2,1))</f>
        <v>1236193.1917254166</v>
      </c>
      <c r="R537" s="321"/>
      <c r="S537" s="319" t="s">
        <v>933</v>
      </c>
    </row>
    <row r="538" spans="1:19" ht="11.25" hidden="1" customHeight="1" x14ac:dyDescent="0.35">
      <c r="A538" s="235"/>
      <c r="B538" s="490" t="str">
        <f ca="1">SpecsTxt!$H$32&amp;", "&amp;CHOOSE(NABase,SpecsTxt!$B$32,SpecsTxt!$C$32,SpecsTxt!$D$32)</f>
        <v>Group Capital charge on net assets, average</v>
      </c>
      <c r="C538" s="491"/>
      <c r="D538" s="1149"/>
      <c r="E538" s="463" t="s">
        <v>937</v>
      </c>
      <c r="F538" s="981"/>
      <c r="G538" s="981"/>
      <c r="H538" s="981">
        <f t="shared" ref="H538:P538" ca="1" si="273">H537*IF(VariableRate=1,H$1061,DiscYear)/100</f>
        <v>0</v>
      </c>
      <c r="I538" s="981">
        <f t="shared" ca="1" si="273"/>
        <v>0</v>
      </c>
      <c r="J538" s="981">
        <f t="shared" ca="1" si="273"/>
        <v>0</v>
      </c>
      <c r="K538" s="981">
        <f t="shared" ca="1" si="273"/>
        <v>113966.16701665521</v>
      </c>
      <c r="L538" s="981">
        <f t="shared" ca="1" si="273"/>
        <v>112661.47637369166</v>
      </c>
      <c r="M538" s="981">
        <f t="shared" ca="1" si="273"/>
        <v>114283.18584418505</v>
      </c>
      <c r="N538" s="981">
        <f t="shared" ca="1" si="273"/>
        <v>120706.54426068919</v>
      </c>
      <c r="O538" s="981">
        <f t="shared" ca="1" si="273"/>
        <v>130092.37682676612</v>
      </c>
      <c r="P538" s="981">
        <f t="shared" ca="1" si="273"/>
        <v>143397.73247460488</v>
      </c>
      <c r="Q538" s="975">
        <v>0</v>
      </c>
      <c r="R538" s="321"/>
      <c r="S538" s="319" t="s">
        <v>933</v>
      </c>
    </row>
    <row r="539" spans="1:19" ht="5.15" customHeight="1" x14ac:dyDescent="0.35">
      <c r="A539" s="235"/>
      <c r="B539" s="497"/>
      <c r="C539" s="497"/>
      <c r="D539" s="498"/>
      <c r="E539" s="469" t="s">
        <v>39</v>
      </c>
      <c r="F539" s="499"/>
      <c r="G539" s="499"/>
      <c r="H539" s="499"/>
      <c r="I539" s="499"/>
      <c r="J539" s="499"/>
      <c r="K539" s="499"/>
      <c r="L539" s="499"/>
      <c r="M539" s="499"/>
      <c r="N539" s="499"/>
      <c r="O539" s="499"/>
      <c r="P539" s="499"/>
      <c r="Q539" s="500"/>
      <c r="R539" s="321"/>
      <c r="S539" s="319" t="s">
        <v>66</v>
      </c>
    </row>
    <row r="540" spans="1:19" ht="12" customHeight="1" x14ac:dyDescent="0.35">
      <c r="A540" s="235"/>
      <c r="B540" s="331" t="s">
        <v>938</v>
      </c>
      <c r="C540" s="235"/>
      <c r="D540" s="235"/>
      <c r="E540" s="324" t="s">
        <v>939</v>
      </c>
      <c r="F540" s="317"/>
      <c r="G540" s="501"/>
      <c r="H540" s="502"/>
      <c r="I540" s="502"/>
      <c r="J540" s="502"/>
      <c r="K540" s="502"/>
      <c r="L540" s="502"/>
      <c r="M540" s="502"/>
      <c r="N540" s="502"/>
      <c r="O540" s="502"/>
      <c r="P540" s="502"/>
      <c r="Q540" s="501"/>
      <c r="R540" s="321"/>
      <c r="S540" s="319" t="s">
        <v>54</v>
      </c>
    </row>
    <row r="541" spans="1:19" ht="12" customHeight="1" x14ac:dyDescent="0.35">
      <c r="A541" s="235"/>
      <c r="B541" s="235"/>
      <c r="C541" s="235"/>
      <c r="D541" s="235"/>
      <c r="E541" s="324" t="s">
        <v>940</v>
      </c>
      <c r="F541" s="317"/>
      <c r="G541" s="501"/>
      <c r="H541" s="501"/>
      <c r="I541" s="501"/>
      <c r="J541" s="501"/>
      <c r="K541" s="501"/>
      <c r="L541" s="502"/>
      <c r="M541" s="502"/>
      <c r="N541" s="502"/>
      <c r="O541" s="502"/>
      <c r="P541" s="502"/>
      <c r="Q541" s="501"/>
      <c r="R541" s="321"/>
      <c r="S541" s="319" t="s">
        <v>54</v>
      </c>
    </row>
    <row r="542" spans="1:19" ht="16" customHeight="1" x14ac:dyDescent="0.35">
      <c r="A542" s="235"/>
      <c r="B542" s="350" t="s">
        <v>941</v>
      </c>
      <c r="C542" s="235"/>
      <c r="D542" s="235"/>
      <c r="E542" s="324" t="s">
        <v>942</v>
      </c>
      <c r="F542" s="317"/>
      <c r="G542" s="235"/>
      <c r="H542" s="235"/>
      <c r="I542" s="235"/>
      <c r="J542" s="235"/>
      <c r="K542" s="235"/>
      <c r="L542" s="235"/>
      <c r="M542" s="235"/>
      <c r="N542" s="235"/>
      <c r="O542" s="235"/>
      <c r="P542" s="235"/>
      <c r="Q542" s="235"/>
      <c r="R542" s="321"/>
      <c r="S542" s="319" t="s">
        <v>66</v>
      </c>
    </row>
    <row r="543" spans="1:19" ht="11.25" customHeight="1" x14ac:dyDescent="0.35">
      <c r="A543" s="401"/>
      <c r="B543" s="334" t="str">
        <f>IF(PrintMode=0,"      ","")&amp;IF(Figures&gt;1,Figures&amp;" ","")&amp;Currency</f>
        <v xml:space="preserve">      Euro</v>
      </c>
      <c r="C543" s="435"/>
      <c r="D543" s="1104"/>
      <c r="E543" s="337" t="s">
        <v>943</v>
      </c>
      <c r="F543" s="950" t="str">
        <f t="shared" ref="F543:P543" si="274">F$1&amp;"/"&amp;F$3</f>
        <v>12/2018</v>
      </c>
      <c r="G543" s="951" t="str">
        <f t="shared" si="274"/>
        <v>9/2019</v>
      </c>
      <c r="H543" s="952" t="str">
        <f t="shared" si="274"/>
        <v>9/2019</v>
      </c>
      <c r="I543" s="952" t="str">
        <f t="shared" si="274"/>
        <v>10/2019</v>
      </c>
      <c r="J543" s="952" t="str">
        <f t="shared" si="274"/>
        <v>11/2019</v>
      </c>
      <c r="K543" s="952" t="str">
        <f t="shared" si="274"/>
        <v>12/2019</v>
      </c>
      <c r="L543" s="952" t="str">
        <f t="shared" si="274"/>
        <v>12/2020</v>
      </c>
      <c r="M543" s="952" t="str">
        <f t="shared" si="274"/>
        <v>12/2021</v>
      </c>
      <c r="N543" s="952" t="str">
        <f t="shared" si="274"/>
        <v>12/2022</v>
      </c>
      <c r="O543" s="952" t="str">
        <f t="shared" si="274"/>
        <v>12/2023</v>
      </c>
      <c r="P543" s="952" t="str">
        <f t="shared" si="274"/>
        <v>12/2024</v>
      </c>
      <c r="Q543" s="1259" t="str">
        <f ca="1">Q$16</f>
        <v>Residual</v>
      </c>
      <c r="R543" s="321"/>
      <c r="S543" s="319" t="s">
        <v>66</v>
      </c>
    </row>
    <row r="544" spans="1:19" ht="11.25" customHeight="1" x14ac:dyDescent="0.35">
      <c r="A544" s="235"/>
      <c r="B544" s="341" t="s">
        <v>59</v>
      </c>
      <c r="C544" s="342"/>
      <c r="D544" s="1105"/>
      <c r="E544" s="392" t="s">
        <v>944</v>
      </c>
      <c r="F544" s="953">
        <f>F$17</f>
        <v>12</v>
      </c>
      <c r="G544" s="954"/>
      <c r="H544" s="954">
        <f t="shared" ref="H544:Q544" si="275">H$17</f>
        <v>1</v>
      </c>
      <c r="I544" s="954">
        <f t="shared" si="275"/>
        <v>1</v>
      </c>
      <c r="J544" s="954">
        <f t="shared" si="275"/>
        <v>1</v>
      </c>
      <c r="K544" s="954">
        <f t="shared" si="275"/>
        <v>1</v>
      </c>
      <c r="L544" s="954">
        <f t="shared" si="275"/>
        <v>12</v>
      </c>
      <c r="M544" s="954">
        <f t="shared" si="275"/>
        <v>12</v>
      </c>
      <c r="N544" s="954">
        <f t="shared" si="275"/>
        <v>12</v>
      </c>
      <c r="O544" s="954">
        <f t="shared" si="275"/>
        <v>12</v>
      </c>
      <c r="P544" s="954">
        <f t="shared" si="275"/>
        <v>12</v>
      </c>
      <c r="Q544" s="1260" t="str">
        <f t="shared" ca="1" si="275"/>
        <v>(12/2024)</v>
      </c>
      <c r="R544" s="321"/>
      <c r="S544" s="319" t="s">
        <v>71</v>
      </c>
    </row>
    <row r="545" spans="1:19" ht="11.25" customHeight="1" x14ac:dyDescent="0.35">
      <c r="A545" s="235"/>
      <c r="B545" s="441" t="s">
        <v>945</v>
      </c>
      <c r="C545" s="503"/>
      <c r="D545" s="1117"/>
      <c r="E545" s="380" t="s">
        <v>946</v>
      </c>
      <c r="F545" s="1053">
        <f t="shared" ref="F545:Q545" ca="1" si="276">SUM(OFFSET(F545,0,-1))-F574</f>
        <v>0</v>
      </c>
      <c r="G545" s="1054">
        <f t="shared" ca="1" si="276"/>
        <v>0</v>
      </c>
      <c r="H545" s="1054">
        <f t="shared" ca="1" si="276"/>
        <v>945000</v>
      </c>
      <c r="I545" s="1054">
        <f t="shared" ca="1" si="276"/>
        <v>961117.49473981478</v>
      </c>
      <c r="J545" s="1054">
        <f t="shared" ca="1" si="276"/>
        <v>977509.88221686566</v>
      </c>
      <c r="K545" s="1054">
        <f t="shared" ca="1" si="276"/>
        <v>994181.85087797383</v>
      </c>
      <c r="L545" s="1054">
        <f t="shared" ca="1" si="276"/>
        <v>1217872.767325518</v>
      </c>
      <c r="M545" s="1054">
        <f t="shared" ref="M545:N545" ca="1" si="277">SUM(OFFSET(M545,0,-1))-M574</f>
        <v>1491894.1399737592</v>
      </c>
      <c r="N545" s="1054">
        <f t="shared" ca="1" si="277"/>
        <v>1827570.3214678552</v>
      </c>
      <c r="O545" s="1054">
        <f t="shared" ref="O545:P545" ca="1" si="278">SUM(OFFSET(O545,0,-1))-O574</f>
        <v>2238773.6437981222</v>
      </c>
      <c r="P545" s="1054">
        <f t="shared" ca="1" si="278"/>
        <v>2742497.7136527002</v>
      </c>
      <c r="Q545" s="1270">
        <f t="shared" ca="1" si="276"/>
        <v>0</v>
      </c>
      <c r="R545" s="321"/>
      <c r="S545" s="319" t="s">
        <v>71</v>
      </c>
    </row>
    <row r="546" spans="1:19" ht="11.25" customHeight="1" x14ac:dyDescent="0.35">
      <c r="A546" s="235"/>
      <c r="B546" s="504" t="str">
        <f>IF(ReceivablesSpec,"1","")</f>
        <v/>
      </c>
      <c r="C546" s="434" t="s">
        <v>5395</v>
      </c>
      <c r="D546" s="1118"/>
      <c r="E546" s="324" t="s">
        <v>947</v>
      </c>
      <c r="F546" s="1026">
        <f ca="1">IF((-F$456)&lt;&gt;0,(F547/ABS(-F$456))*(F$544*30),0)</f>
        <v>0</v>
      </c>
      <c r="G546" s="1025"/>
      <c r="H546" s="1025">
        <v>30</v>
      </c>
      <c r="I546" s="1025">
        <f t="shared" ref="I546:P546" ca="1" si="279">OFFSET(I546,0,-1)*(1+((1+0/100)^(1/(12/I$12))-1))</f>
        <v>30</v>
      </c>
      <c r="J546" s="1025">
        <f t="shared" ca="1" si="279"/>
        <v>30</v>
      </c>
      <c r="K546" s="1025">
        <f t="shared" ca="1" si="279"/>
        <v>30</v>
      </c>
      <c r="L546" s="1025">
        <f t="shared" ca="1" si="279"/>
        <v>30</v>
      </c>
      <c r="M546" s="1025">
        <f t="shared" ca="1" si="279"/>
        <v>30</v>
      </c>
      <c r="N546" s="1025">
        <f t="shared" ca="1" si="279"/>
        <v>30</v>
      </c>
      <c r="O546" s="1025">
        <f t="shared" ca="1" si="279"/>
        <v>30</v>
      </c>
      <c r="P546" s="1025">
        <f t="shared" ca="1" si="279"/>
        <v>30</v>
      </c>
      <c r="Q546" s="1256"/>
      <c r="R546" s="321"/>
      <c r="S546" s="319" t="s">
        <v>71</v>
      </c>
    </row>
    <row r="547" spans="1:19" ht="11.25" customHeight="1" x14ac:dyDescent="0.35">
      <c r="A547" s="235"/>
      <c r="B547" s="445"/>
      <c r="C547" s="505" t="str">
        <f>$C$775</f>
        <v>Accounts receivable</v>
      </c>
      <c r="D547" s="1118"/>
      <c r="E547" s="324" t="s">
        <v>949</v>
      </c>
      <c r="F547" s="1026">
        <f ca="1">OFFSET($G$775,0,F$5)</f>
        <v>0</v>
      </c>
      <c r="G547" s="1026">
        <f ca="1">IF(ISBLANK(OFFSET(G547,1,0)),OFFSET(G547,0,-1),OFFSET(G547,1,0))</f>
        <v>0</v>
      </c>
      <c r="H547" s="1026">
        <f ca="1">IF(ISBLANK(OFFSET(H547,1,0)),OFFSET(H547,0,-1)-H549,OFFSET(H547,1,0))</f>
        <v>945000</v>
      </c>
      <c r="I547" s="1026">
        <f t="shared" ref="I547:Q547" ca="1" si="280">IF(ISBLANK(OFFSET(I547,1,0)),OFFSET(I547,0,-1)-I549,OFFSET(I547,1,0))</f>
        <v>961117.49473981478</v>
      </c>
      <c r="J547" s="1026">
        <f t="shared" ca="1" si="280"/>
        <v>977509.88221686566</v>
      </c>
      <c r="K547" s="1026">
        <f t="shared" ca="1" si="280"/>
        <v>994181.85087797383</v>
      </c>
      <c r="L547" s="1026">
        <f t="shared" ca="1" si="280"/>
        <v>1217872.767325518</v>
      </c>
      <c r="M547" s="1026">
        <f t="shared" ref="M547:N547" ca="1" si="281">IF(ISBLANK(OFFSET(M547,1,0)),OFFSET(M547,0,-1)-M549,OFFSET(M547,1,0))</f>
        <v>1491894.1399737592</v>
      </c>
      <c r="N547" s="1026">
        <f t="shared" ca="1" si="281"/>
        <v>1827570.3214678552</v>
      </c>
      <c r="O547" s="1026">
        <f t="shared" ref="O547:P547" ca="1" si="282">IF(ISBLANK(OFFSET(O547,1,0)),OFFSET(O547,0,-1)-O549,OFFSET(O547,1,0))</f>
        <v>2238773.6437981222</v>
      </c>
      <c r="P547" s="1026">
        <f t="shared" ca="1" si="282"/>
        <v>2742497.7136527002</v>
      </c>
      <c r="Q547" s="1256">
        <f t="shared" ca="1" si="280"/>
        <v>0</v>
      </c>
      <c r="R547" s="321"/>
      <c r="S547" s="319" t="s">
        <v>71</v>
      </c>
    </row>
    <row r="548" spans="1:19" ht="11.25" customHeight="1" x14ac:dyDescent="0.35">
      <c r="A548" s="235"/>
      <c r="B548" s="445"/>
      <c r="C548" s="434" t="s">
        <v>5396</v>
      </c>
      <c r="D548" s="1118"/>
      <c r="E548" s="324" t="s">
        <v>950</v>
      </c>
      <c r="F548" s="1217"/>
      <c r="G548" s="1025"/>
      <c r="H548" s="1025"/>
      <c r="I548" s="1025"/>
      <c r="J548" s="1025"/>
      <c r="K548" s="1025"/>
      <c r="L548" s="1025"/>
      <c r="M548" s="1025"/>
      <c r="N548" s="1025"/>
      <c r="O548" s="1025"/>
      <c r="P548" s="1025"/>
      <c r="Q548" s="1271"/>
      <c r="R548" s="321"/>
      <c r="S548" s="319" t="s">
        <v>71</v>
      </c>
    </row>
    <row r="549" spans="1:19" ht="11.25" customHeight="1" x14ac:dyDescent="0.35">
      <c r="A549" s="235"/>
      <c r="B549" s="445"/>
      <c r="C549" s="506" t="s">
        <v>5426</v>
      </c>
      <c r="D549" s="1118"/>
      <c r="E549" s="324" t="s">
        <v>951</v>
      </c>
      <c r="F549" s="971">
        <f ca="1">SUM(OFFSET(F547,0,-1))-F547</f>
        <v>0</v>
      </c>
      <c r="G549" s="1026">
        <f ca="1">IF(NOT(ISBLANK(OFFSET(G547,1,0))),OFFSET(G547,0,-1)-G547,0)</f>
        <v>0</v>
      </c>
      <c r="H549" s="1026">
        <f t="shared" ref="H549" ca="1" si="283">IF(NOT(ISBLANK(H$548)),OFFSET(H$547,0,-1)-H$547,IF(H$546&lt;&gt;0,(MIN(H$546,H$544*30)/(H$544*30))*(-H$456),0))</f>
        <v>-945000</v>
      </c>
      <c r="I549" s="1026">
        <f ca="1">IF(NOT(ISBLANK(I$548)),OFFSET(I$547,0,-1)-I$547,IF(I$546&lt;&gt;0,(MIN(I$546,I$544*30)/(I$544*30))*(-I$456),0)+(30/($H$546))*IF(NOT(ISBLANK($H$548)),$H$547,(MIN($H$546,$H$544*30)/($H$544*30))*-(-$H$456)))</f>
        <v>-16117.494739814778</v>
      </c>
      <c r="J549" s="1026">
        <f ca="1">IF(NOT(ISBLANK(J$548)),OFFSET(J$547,0,-1)-J$547,IF(J$546&lt;&gt;0,(MIN(J$546,J$544*30)/(J$544*30))*(-J$456),0)+(30/($I$546))*IF(NOT(ISBLANK($I$548)),$I$547,(MIN($I$546,$I$544*30)/($I$544*30))*-(-$I$456)))</f>
        <v>-16392.387477050885</v>
      </c>
      <c r="K549" s="1026">
        <f ca="1">IF(NOT(ISBLANK(K$548)),OFFSET(K$547,0,-1)-K$547,IF(K$546&lt;&gt;0,(MIN(K$546,K$544*30)/(K$544*30))*(-K$456),0)+(30/($J$546))*IF(NOT(ISBLANK($J$548)),$J$547,(MIN($J$546,$J$544*30)/($J$544*30))*-(-$J$456)))</f>
        <v>-16671.968661108171</v>
      </c>
      <c r="L549" s="1026">
        <f ca="1">IF(NOT(ISBLANK(L$548)),OFFSET(L$547,0,-1)-L$547,IF(L$546&lt;&gt;0,(MIN(L$546,L$544*30)/(L$544*30))*(-L$456),0)+(30/($K$546))*IF(NOT(ISBLANK($K$548)),$K$547,(MIN($K$546,$K$544*30)/($K$544*30))*-(-$K$456)))</f>
        <v>-223690.91644754412</v>
      </c>
      <c r="M549" s="1026">
        <f ca="1">IF(NOT(ISBLANK(M$548)),OFFSET(M$547,0,-1)-M$547,IF(M$546&lt;&gt;0,(MIN(M$546,M$544*30)/(M$544*30))*(-M$456),0)+(30/($L$546))*IF(NOT(ISBLANK($L$548)),$L$547,(MIN($L$546,$L$544*30)/($L$544*30))*-(-$L$456)))</f>
        <v>-274021.37264824123</v>
      </c>
      <c r="N549" s="1026">
        <f ca="1">IF(NOT(ISBLANK(N$548)),OFFSET(N$547,0,-1)-N$547,IF(N$546&lt;&gt;0,(MIN(N$546,N$544*30)/(N$544*30))*(-N$456),0)+(30/($M$546))*IF(NOT(ISBLANK($M$548)),$M$547,(MIN($M$546,$M$544*30)/($M$544*30))*-(-$M$456)))</f>
        <v>-335676.18149409606</v>
      </c>
      <c r="O549" s="1026">
        <f ca="1">IF(NOT(ISBLANK(O$548)),OFFSET(O$547,0,-1)-O$547,IF(O$546&lt;&gt;0,(MIN(O$546,O$544*30)/(O$544*30))*(-O$456),0)+(30/($N$546))*IF(NOT(ISBLANK($N$548)),$N$547,(MIN($N$546,$N$544*30)/($N$544*30))*-(-$N$456)))</f>
        <v>-411203.32233026694</v>
      </c>
      <c r="P549" s="1026">
        <f ca="1">IF(NOT(ISBLANK(P$548)),OFFSET(P$547,0,-1)-P$547,IF(P$546&lt;&gt;0,(MIN(P$546,P$544*30)/(P$544*30))*(-P$456),0)+(30/($O$546))*IF(NOT(ISBLANK($O$548)),$O$547,(MIN($O$546,$O$544*30)/($O$544*30))*-(-$O$456)))</f>
        <v>-503724.069854578</v>
      </c>
      <c r="Q549" s="1256">
        <f ca="1">IF(AND(Q$5=-99,NoResCol=1),0,OFFSET(Q547,0,-1)-OFFSET(Q547,1,0))</f>
        <v>2742497.7136527002</v>
      </c>
      <c r="R549" s="321"/>
      <c r="S549" s="319" t="s">
        <v>71</v>
      </c>
    </row>
    <row r="550" spans="1:19" ht="11.25" hidden="1" customHeight="1" x14ac:dyDescent="0.35">
      <c r="A550" s="235"/>
      <c r="B550" s="445">
        <v>2</v>
      </c>
      <c r="C550" s="507" t="s">
        <v>5395</v>
      </c>
      <c r="D550" s="1117"/>
      <c r="E550" s="380" t="s">
        <v>5273</v>
      </c>
      <c r="F550" s="1055">
        <f ca="1">IF((-F$456)&lt;&gt;0,(F551/ABS(-F$456))*(F$544*30),0)</f>
        <v>0</v>
      </c>
      <c r="G550" s="1056"/>
      <c r="H550" s="1056"/>
      <c r="I550" s="1056"/>
      <c r="J550" s="1056"/>
      <c r="K550" s="1056"/>
      <c r="L550" s="1056"/>
      <c r="M550" s="1056"/>
      <c r="N550" s="1056"/>
      <c r="O550" s="1056"/>
      <c r="P550" s="1056"/>
      <c r="Q550" s="1262"/>
      <c r="R550" s="321"/>
      <c r="S550" s="319" t="s">
        <v>73</v>
      </c>
    </row>
    <row r="551" spans="1:19" ht="11.25" hidden="1" customHeight="1" x14ac:dyDescent="0.35">
      <c r="A551" s="235"/>
      <c r="B551" s="445"/>
      <c r="C551" s="508" t="s">
        <v>5265</v>
      </c>
      <c r="D551" s="1118"/>
      <c r="E551" s="324" t="s">
        <v>5277</v>
      </c>
      <c r="F551" s="1026"/>
      <c r="G551" s="1026">
        <f ca="1">IF(ISBLANK(OFFSET(G551,1,0)),OFFSET(G551,0,-1),OFFSET(G551,1,0))</f>
        <v>0</v>
      </c>
      <c r="H551" s="1026">
        <f ca="1">IF(ISBLANK(OFFSET(H551,1,0)),OFFSET(H551,0,-1)-H553,OFFSET(H551,1,0))</f>
        <v>0</v>
      </c>
      <c r="I551" s="1026">
        <f t="shared" ref="I551:Q551" ca="1" si="284">IF(ISBLANK(OFFSET(I551,1,0)),OFFSET(I551,0,-1)-I553,OFFSET(I551,1,0))</f>
        <v>0</v>
      </c>
      <c r="J551" s="1026">
        <f t="shared" ca="1" si="284"/>
        <v>0</v>
      </c>
      <c r="K551" s="1026">
        <f t="shared" ca="1" si="284"/>
        <v>0</v>
      </c>
      <c r="L551" s="1026">
        <f t="shared" ca="1" si="284"/>
        <v>0</v>
      </c>
      <c r="M551" s="1026">
        <f t="shared" ref="M551:N551" ca="1" si="285">IF(ISBLANK(OFFSET(M551,1,0)),OFFSET(M551,0,-1)-M553,OFFSET(M551,1,0))</f>
        <v>0</v>
      </c>
      <c r="N551" s="1026">
        <f t="shared" ca="1" si="285"/>
        <v>0</v>
      </c>
      <c r="O551" s="1026">
        <f t="shared" ref="O551:P551" ca="1" si="286">IF(ISBLANK(OFFSET(O551,1,0)),OFFSET(O551,0,-1)-O553,OFFSET(O551,1,0))</f>
        <v>0</v>
      </c>
      <c r="P551" s="1026">
        <f t="shared" ca="1" si="286"/>
        <v>0</v>
      </c>
      <c r="Q551" s="1256">
        <f t="shared" ca="1" si="284"/>
        <v>0</v>
      </c>
      <c r="R551" s="321"/>
      <c r="S551" s="319" t="s">
        <v>73</v>
      </c>
    </row>
    <row r="552" spans="1:19" ht="11.25" hidden="1" customHeight="1" x14ac:dyDescent="0.35">
      <c r="A552" s="235"/>
      <c r="B552" s="445"/>
      <c r="C552" s="434" t="s">
        <v>5396</v>
      </c>
      <c r="D552" s="1118"/>
      <c r="E552" s="324" t="s">
        <v>5281</v>
      </c>
      <c r="F552" s="971"/>
      <c r="G552" s="1025"/>
      <c r="H552" s="1025"/>
      <c r="I552" s="1025"/>
      <c r="J552" s="1025"/>
      <c r="K552" s="1025"/>
      <c r="L552" s="1025"/>
      <c r="M552" s="1025"/>
      <c r="N552" s="1025"/>
      <c r="O552" s="1025"/>
      <c r="P552" s="1025"/>
      <c r="Q552" s="1271"/>
      <c r="R552" s="321"/>
      <c r="S552" s="319" t="s">
        <v>73</v>
      </c>
    </row>
    <row r="553" spans="1:19" ht="11.25" hidden="1" customHeight="1" x14ac:dyDescent="0.35">
      <c r="A553" s="235"/>
      <c r="B553" s="445"/>
      <c r="C553" s="506" t="s">
        <v>5426</v>
      </c>
      <c r="D553" s="1118"/>
      <c r="E553" s="324" t="s">
        <v>5285</v>
      </c>
      <c r="F553" s="971">
        <f ca="1">SUM(OFFSET(F551,0,-1))-F551</f>
        <v>0</v>
      </c>
      <c r="G553" s="1026">
        <f ca="1">IF(NOT(ISBLANK(OFFSET(G551,1,0))),OFFSET(G551,0,-1)-G551,0)</f>
        <v>0</v>
      </c>
      <c r="H553" s="1026">
        <f t="shared" ref="H553:P553" ca="1" si="287">IF(NOT(ISBLANK(H$552)),OFFSET(H$551,0,-1)-H$551,IF(H$550&lt;&gt;0,(MIN(H$550,H$544*30)/(H$544*30))*(-H$456),0))</f>
        <v>0</v>
      </c>
      <c r="I553" s="1026">
        <f t="shared" ca="1" si="287"/>
        <v>0</v>
      </c>
      <c r="J553" s="1026">
        <f t="shared" ca="1" si="287"/>
        <v>0</v>
      </c>
      <c r="K553" s="1026">
        <f t="shared" ca="1" si="287"/>
        <v>0</v>
      </c>
      <c r="L553" s="1026">
        <f t="shared" ca="1" si="287"/>
        <v>0</v>
      </c>
      <c r="M553" s="1026">
        <f t="shared" ca="1" si="287"/>
        <v>0</v>
      </c>
      <c r="N553" s="1026">
        <f t="shared" ca="1" si="287"/>
        <v>0</v>
      </c>
      <c r="O553" s="1026">
        <f t="shared" ca="1" si="287"/>
        <v>0</v>
      </c>
      <c r="P553" s="1026">
        <f t="shared" ca="1" si="287"/>
        <v>0</v>
      </c>
      <c r="Q553" s="1256">
        <f ca="1">IF(AND(Q$5=-99,NoResCol=1),0,OFFSET(Q551,0,-1)-OFFSET(Q551,1,0))</f>
        <v>0</v>
      </c>
      <c r="R553" s="321"/>
      <c r="S553" s="319" t="s">
        <v>73</v>
      </c>
    </row>
    <row r="554" spans="1:19" ht="11.25" hidden="1" customHeight="1" x14ac:dyDescent="0.35">
      <c r="A554" s="235"/>
      <c r="B554" s="445">
        <v>3</v>
      </c>
      <c r="C554" s="507" t="s">
        <v>5395</v>
      </c>
      <c r="D554" s="1117"/>
      <c r="E554" s="380" t="s">
        <v>5274</v>
      </c>
      <c r="F554" s="1055">
        <f ca="1">IF((-F$456)&lt;&gt;0,(F555/ABS(-F$456))*(F$544*30),0)</f>
        <v>0</v>
      </c>
      <c r="G554" s="1056"/>
      <c r="H554" s="1056"/>
      <c r="I554" s="1056"/>
      <c r="J554" s="1056"/>
      <c r="K554" s="1056"/>
      <c r="L554" s="1056"/>
      <c r="M554" s="1056"/>
      <c r="N554" s="1056"/>
      <c r="O554" s="1056"/>
      <c r="P554" s="1056"/>
      <c r="Q554" s="1262"/>
      <c r="R554" s="321"/>
      <c r="S554" s="319" t="s">
        <v>73</v>
      </c>
    </row>
    <row r="555" spans="1:19" ht="11.25" hidden="1" customHeight="1" x14ac:dyDescent="0.35">
      <c r="A555" s="235"/>
      <c r="B555" s="445"/>
      <c r="C555" s="508" t="s">
        <v>5266</v>
      </c>
      <c r="D555" s="1118"/>
      <c r="E555" s="324" t="s">
        <v>5278</v>
      </c>
      <c r="F555" s="1026"/>
      <c r="G555" s="1026">
        <f ca="1">IF(ISBLANK(OFFSET(G555,1,0)),OFFSET(G555,0,-1),OFFSET(G555,1,0))</f>
        <v>0</v>
      </c>
      <c r="H555" s="1026">
        <f ca="1">IF(ISBLANK(OFFSET(H555,1,0)),OFFSET(H555,0,-1)-H557,OFFSET(H555,1,0))</f>
        <v>0</v>
      </c>
      <c r="I555" s="1026">
        <f t="shared" ref="I555:Q555" ca="1" si="288">IF(ISBLANK(OFFSET(I555,1,0)),OFFSET(I555,0,-1)-I557,OFFSET(I555,1,0))</f>
        <v>0</v>
      </c>
      <c r="J555" s="1026">
        <f t="shared" ca="1" si="288"/>
        <v>0</v>
      </c>
      <c r="K555" s="1026">
        <f t="shared" ca="1" si="288"/>
        <v>0</v>
      </c>
      <c r="L555" s="1026">
        <f t="shared" ca="1" si="288"/>
        <v>0</v>
      </c>
      <c r="M555" s="1026">
        <f t="shared" ref="M555:N555" ca="1" si="289">IF(ISBLANK(OFFSET(M555,1,0)),OFFSET(M555,0,-1)-M557,OFFSET(M555,1,0))</f>
        <v>0</v>
      </c>
      <c r="N555" s="1026">
        <f t="shared" ca="1" si="289"/>
        <v>0</v>
      </c>
      <c r="O555" s="1026">
        <f t="shared" ref="O555:P555" ca="1" si="290">IF(ISBLANK(OFFSET(O555,1,0)),OFFSET(O555,0,-1)-O557,OFFSET(O555,1,0))</f>
        <v>0</v>
      </c>
      <c r="P555" s="1026">
        <f t="shared" ca="1" si="290"/>
        <v>0</v>
      </c>
      <c r="Q555" s="1256">
        <f t="shared" ca="1" si="288"/>
        <v>0</v>
      </c>
      <c r="R555" s="321"/>
      <c r="S555" s="319" t="s">
        <v>73</v>
      </c>
    </row>
    <row r="556" spans="1:19" ht="11.25" hidden="1" customHeight="1" x14ac:dyDescent="0.35">
      <c r="A556" s="235"/>
      <c r="B556" s="445"/>
      <c r="C556" s="434" t="s">
        <v>5396</v>
      </c>
      <c r="D556" s="1118"/>
      <c r="E556" s="324" t="s">
        <v>5282</v>
      </c>
      <c r="F556" s="971"/>
      <c r="G556" s="1025"/>
      <c r="H556" s="1025"/>
      <c r="I556" s="1025"/>
      <c r="J556" s="1025"/>
      <c r="K556" s="1025"/>
      <c r="L556" s="1025"/>
      <c r="M556" s="1025"/>
      <c r="N556" s="1025"/>
      <c r="O556" s="1025"/>
      <c r="P556" s="1025"/>
      <c r="Q556" s="1271"/>
      <c r="R556" s="321"/>
      <c r="S556" s="319" t="s">
        <v>73</v>
      </c>
    </row>
    <row r="557" spans="1:19" ht="11.25" hidden="1" customHeight="1" x14ac:dyDescent="0.35">
      <c r="A557" s="235"/>
      <c r="B557" s="445"/>
      <c r="C557" s="506" t="s">
        <v>5426</v>
      </c>
      <c r="D557" s="1118"/>
      <c r="E557" s="324" t="s">
        <v>5287</v>
      </c>
      <c r="F557" s="971">
        <f ca="1">SUM(OFFSET(F555,0,-1))-F555</f>
        <v>0</v>
      </c>
      <c r="G557" s="1026">
        <f ca="1">IF(NOT(ISBLANK(OFFSET(G555,1,0))),OFFSET(G555,0,-1)-G555,0)</f>
        <v>0</v>
      </c>
      <c r="H557" s="1026">
        <f t="shared" ref="H557:P557" ca="1" si="291">IF(NOT(ISBLANK(H$556)),OFFSET(H$555,0,-1)-H$555,IF(H$554&lt;&gt;0,(MIN(H$554,H$544*30)/(H$544*30))*(-H$456),0))</f>
        <v>0</v>
      </c>
      <c r="I557" s="1026">
        <f t="shared" ca="1" si="291"/>
        <v>0</v>
      </c>
      <c r="J557" s="1026">
        <f t="shared" ca="1" si="291"/>
        <v>0</v>
      </c>
      <c r="K557" s="1026">
        <f t="shared" ca="1" si="291"/>
        <v>0</v>
      </c>
      <c r="L557" s="1026">
        <f t="shared" ca="1" si="291"/>
        <v>0</v>
      </c>
      <c r="M557" s="1026">
        <f t="shared" ca="1" si="291"/>
        <v>0</v>
      </c>
      <c r="N557" s="1026">
        <f t="shared" ca="1" si="291"/>
        <v>0</v>
      </c>
      <c r="O557" s="1026">
        <f t="shared" ca="1" si="291"/>
        <v>0</v>
      </c>
      <c r="P557" s="1026">
        <f t="shared" ca="1" si="291"/>
        <v>0</v>
      </c>
      <c r="Q557" s="1256">
        <f ca="1">IF(AND(Q$5=-99,NoResCol=1),0,OFFSET(Q555,0,-1)-OFFSET(Q555,1,0))</f>
        <v>0</v>
      </c>
      <c r="R557" s="321"/>
      <c r="S557" s="319" t="s">
        <v>73</v>
      </c>
    </row>
    <row r="558" spans="1:19" ht="11.25" hidden="1" customHeight="1" x14ac:dyDescent="0.35">
      <c r="A558" s="235"/>
      <c r="B558" s="445">
        <v>4</v>
      </c>
      <c r="C558" s="507" t="s">
        <v>5395</v>
      </c>
      <c r="D558" s="1117"/>
      <c r="E558" s="380" t="s">
        <v>5275</v>
      </c>
      <c r="F558" s="1055">
        <f ca="1">IF((-F$456)&lt;&gt;0,(F559/ABS(-F$456))*(F$544*30),0)</f>
        <v>0</v>
      </c>
      <c r="G558" s="1056"/>
      <c r="H558" s="1056"/>
      <c r="I558" s="1056"/>
      <c r="J558" s="1056"/>
      <c r="K558" s="1056"/>
      <c r="L558" s="1056"/>
      <c r="M558" s="1056"/>
      <c r="N558" s="1056"/>
      <c r="O558" s="1056"/>
      <c r="P558" s="1056"/>
      <c r="Q558" s="1262"/>
      <c r="R558" s="321"/>
      <c r="S558" s="319" t="s">
        <v>73</v>
      </c>
    </row>
    <row r="559" spans="1:19" ht="11.25" hidden="1" customHeight="1" x14ac:dyDescent="0.35">
      <c r="A559" s="235"/>
      <c r="B559" s="445"/>
      <c r="C559" s="508" t="s">
        <v>5271</v>
      </c>
      <c r="D559" s="1118"/>
      <c r="E559" s="324" t="s">
        <v>5279</v>
      </c>
      <c r="F559" s="1026"/>
      <c r="G559" s="1026">
        <f ca="1">IF(ISBLANK(OFFSET(G559,1,0)),OFFSET(G559,0,-1),OFFSET(G559,1,0))</f>
        <v>0</v>
      </c>
      <c r="H559" s="1026">
        <f ca="1">IF(ISBLANK(OFFSET(H559,1,0)),OFFSET(H559,0,-1)-H561,OFFSET(H559,1,0))</f>
        <v>0</v>
      </c>
      <c r="I559" s="1026">
        <f t="shared" ref="I559:Q559" ca="1" si="292">IF(ISBLANK(OFFSET(I559,1,0)),OFFSET(I559,0,-1)-I561,OFFSET(I559,1,0))</f>
        <v>0</v>
      </c>
      <c r="J559" s="1026">
        <f t="shared" ca="1" si="292"/>
        <v>0</v>
      </c>
      <c r="K559" s="1026">
        <f t="shared" ca="1" si="292"/>
        <v>0</v>
      </c>
      <c r="L559" s="1026">
        <f t="shared" ca="1" si="292"/>
        <v>0</v>
      </c>
      <c r="M559" s="1026">
        <f t="shared" ref="M559:N559" ca="1" si="293">IF(ISBLANK(OFFSET(M559,1,0)),OFFSET(M559,0,-1)-M561,OFFSET(M559,1,0))</f>
        <v>0</v>
      </c>
      <c r="N559" s="1026">
        <f t="shared" ca="1" si="293"/>
        <v>0</v>
      </c>
      <c r="O559" s="1026">
        <f t="shared" ref="O559:P559" ca="1" si="294">IF(ISBLANK(OFFSET(O559,1,0)),OFFSET(O559,0,-1)-O561,OFFSET(O559,1,0))</f>
        <v>0</v>
      </c>
      <c r="P559" s="1026">
        <f t="shared" ca="1" si="294"/>
        <v>0</v>
      </c>
      <c r="Q559" s="1256">
        <f t="shared" ca="1" si="292"/>
        <v>0</v>
      </c>
      <c r="R559" s="321"/>
      <c r="S559" s="319" t="s">
        <v>73</v>
      </c>
    </row>
    <row r="560" spans="1:19" ht="11.25" hidden="1" customHeight="1" x14ac:dyDescent="0.35">
      <c r="A560" s="235"/>
      <c r="B560" s="445"/>
      <c r="C560" s="434" t="s">
        <v>5396</v>
      </c>
      <c r="D560" s="1118"/>
      <c r="E560" s="324" t="s">
        <v>5283</v>
      </c>
      <c r="F560" s="971"/>
      <c r="G560" s="1025"/>
      <c r="H560" s="1025"/>
      <c r="I560" s="1025"/>
      <c r="J560" s="1025"/>
      <c r="K560" s="1025"/>
      <c r="L560" s="1025"/>
      <c r="M560" s="1025"/>
      <c r="N560" s="1025"/>
      <c r="O560" s="1025"/>
      <c r="P560" s="1025"/>
      <c r="Q560" s="1271"/>
      <c r="R560" s="321"/>
      <c r="S560" s="319" t="s">
        <v>73</v>
      </c>
    </row>
    <row r="561" spans="1:19" ht="11.25" hidden="1" customHeight="1" x14ac:dyDescent="0.35">
      <c r="A561" s="235"/>
      <c r="B561" s="445"/>
      <c r="C561" s="506" t="s">
        <v>5426</v>
      </c>
      <c r="D561" s="1118"/>
      <c r="E561" s="324" t="s">
        <v>5288</v>
      </c>
      <c r="F561" s="971">
        <f ca="1">SUM(OFFSET(F559,0,-1))-F559</f>
        <v>0</v>
      </c>
      <c r="G561" s="1026">
        <f ca="1">IF(NOT(ISBLANK(OFFSET(G559,1,0))),OFFSET(G559,0,-1)-G559,0)</f>
        <v>0</v>
      </c>
      <c r="H561" s="1026">
        <f t="shared" ref="H561:P561" ca="1" si="295">IF(NOT(ISBLANK(H$560)),OFFSET(H$559,0,-1)-H$559,IF(H$558&lt;&gt;0,(MIN(H$558,H$544*30)/(H$544*30))*(-H$456),0))</f>
        <v>0</v>
      </c>
      <c r="I561" s="1026">
        <f t="shared" ca="1" si="295"/>
        <v>0</v>
      </c>
      <c r="J561" s="1026">
        <f t="shared" ca="1" si="295"/>
        <v>0</v>
      </c>
      <c r="K561" s="1026">
        <f t="shared" ca="1" si="295"/>
        <v>0</v>
      </c>
      <c r="L561" s="1026">
        <f t="shared" ca="1" si="295"/>
        <v>0</v>
      </c>
      <c r="M561" s="1026">
        <f t="shared" ca="1" si="295"/>
        <v>0</v>
      </c>
      <c r="N561" s="1026">
        <f t="shared" ca="1" si="295"/>
        <v>0</v>
      </c>
      <c r="O561" s="1026">
        <f t="shared" ca="1" si="295"/>
        <v>0</v>
      </c>
      <c r="P561" s="1026">
        <f t="shared" ca="1" si="295"/>
        <v>0</v>
      </c>
      <c r="Q561" s="1256">
        <f ca="1">IF(AND(Q$5=-99,NoResCol=1),0,OFFSET(Q559,0,-1)-OFFSET(Q559,1,0))</f>
        <v>0</v>
      </c>
      <c r="R561" s="321"/>
      <c r="S561" s="319" t="s">
        <v>73</v>
      </c>
    </row>
    <row r="562" spans="1:19" ht="11.25" hidden="1" customHeight="1" x14ac:dyDescent="0.35">
      <c r="A562" s="235"/>
      <c r="B562" s="445">
        <v>5</v>
      </c>
      <c r="C562" s="507" t="s">
        <v>5395</v>
      </c>
      <c r="D562" s="1117"/>
      <c r="E562" s="380" t="s">
        <v>5276</v>
      </c>
      <c r="F562" s="1055">
        <f ca="1">IF((-F$456)&lt;&gt;0,(F563/ABS(-F$456))*(F$544*30),0)</f>
        <v>0</v>
      </c>
      <c r="G562" s="1056"/>
      <c r="H562" s="1056"/>
      <c r="I562" s="1056"/>
      <c r="J562" s="1056"/>
      <c r="K562" s="1056"/>
      <c r="L562" s="1056"/>
      <c r="M562" s="1056"/>
      <c r="N562" s="1056"/>
      <c r="O562" s="1056"/>
      <c r="P562" s="1056"/>
      <c r="Q562" s="1262"/>
      <c r="R562" s="321"/>
      <c r="S562" s="319" t="s">
        <v>73</v>
      </c>
    </row>
    <row r="563" spans="1:19" ht="11.25" hidden="1" customHeight="1" x14ac:dyDescent="0.35">
      <c r="A563" s="235"/>
      <c r="B563" s="445"/>
      <c r="C563" s="508" t="s">
        <v>5272</v>
      </c>
      <c r="D563" s="1118"/>
      <c r="E563" s="324" t="s">
        <v>5280</v>
      </c>
      <c r="F563" s="1026"/>
      <c r="G563" s="1026">
        <f ca="1">IF(ISBLANK(OFFSET(G563,1,0)),OFFSET(G563,0,-1),OFFSET(G563,1,0))</f>
        <v>0</v>
      </c>
      <c r="H563" s="1026">
        <f ca="1">IF(ISBLANK(OFFSET(H563,1,0)),OFFSET(H563,0,-1)-H565,OFFSET(H563,1,0))</f>
        <v>0</v>
      </c>
      <c r="I563" s="1026">
        <f t="shared" ref="I563:Q563" ca="1" si="296">IF(ISBLANK(OFFSET(I563,1,0)),OFFSET(I563,0,-1)-I565,OFFSET(I563,1,0))</f>
        <v>0</v>
      </c>
      <c r="J563" s="1026">
        <f t="shared" ca="1" si="296"/>
        <v>0</v>
      </c>
      <c r="K563" s="1026">
        <f t="shared" ca="1" si="296"/>
        <v>0</v>
      </c>
      <c r="L563" s="1026">
        <f t="shared" ca="1" si="296"/>
        <v>0</v>
      </c>
      <c r="M563" s="1026">
        <f t="shared" ref="M563:N563" ca="1" si="297">IF(ISBLANK(OFFSET(M563,1,0)),OFFSET(M563,0,-1)-M565,OFFSET(M563,1,0))</f>
        <v>0</v>
      </c>
      <c r="N563" s="1026">
        <f t="shared" ca="1" si="297"/>
        <v>0</v>
      </c>
      <c r="O563" s="1026">
        <f t="shared" ref="O563:P563" ca="1" si="298">IF(ISBLANK(OFFSET(O563,1,0)),OFFSET(O563,0,-1)-O565,OFFSET(O563,1,0))</f>
        <v>0</v>
      </c>
      <c r="P563" s="1026">
        <f t="shared" ca="1" si="298"/>
        <v>0</v>
      </c>
      <c r="Q563" s="1256">
        <f t="shared" ca="1" si="296"/>
        <v>0</v>
      </c>
      <c r="R563" s="321"/>
      <c r="S563" s="319" t="s">
        <v>73</v>
      </c>
    </row>
    <row r="564" spans="1:19" ht="11.25" hidden="1" customHeight="1" x14ac:dyDescent="0.35">
      <c r="A564" s="235"/>
      <c r="B564" s="445"/>
      <c r="C564" s="434" t="s">
        <v>5396</v>
      </c>
      <c r="D564" s="1118"/>
      <c r="E564" s="324" t="s">
        <v>5284</v>
      </c>
      <c r="F564" s="971"/>
      <c r="G564" s="1025"/>
      <c r="H564" s="1025"/>
      <c r="I564" s="1025"/>
      <c r="J564" s="1025"/>
      <c r="K564" s="1025"/>
      <c r="L564" s="1025"/>
      <c r="M564" s="1025"/>
      <c r="N564" s="1025"/>
      <c r="O564" s="1025"/>
      <c r="P564" s="1025"/>
      <c r="Q564" s="1271"/>
      <c r="R564" s="321"/>
      <c r="S564" s="319" t="s">
        <v>73</v>
      </c>
    </row>
    <row r="565" spans="1:19" ht="11.25" hidden="1" customHeight="1" x14ac:dyDescent="0.35">
      <c r="A565" s="235"/>
      <c r="B565" s="445"/>
      <c r="C565" s="434" t="s">
        <v>5426</v>
      </c>
      <c r="D565" s="1118"/>
      <c r="E565" s="324" t="s">
        <v>5286</v>
      </c>
      <c r="F565" s="971">
        <f ca="1">SUM(OFFSET(F563,0,-1))-F563</f>
        <v>0</v>
      </c>
      <c r="G565" s="1026">
        <f ca="1">IF(NOT(ISBLANK(OFFSET(G563,1,0))),OFFSET(G563,0,-1)-G563,0)</f>
        <v>0</v>
      </c>
      <c r="H565" s="1026">
        <f t="shared" ref="H565:P565" ca="1" si="299">IF(NOT(ISBLANK(H$564)),OFFSET(H$563,0,-1)-H$563,IF(H$562&lt;&gt;0,(MIN(H$562,H$544*30)/(H$544*30))*(-H$456),0))</f>
        <v>0</v>
      </c>
      <c r="I565" s="1026">
        <f t="shared" ca="1" si="299"/>
        <v>0</v>
      </c>
      <c r="J565" s="1026">
        <f t="shared" ca="1" si="299"/>
        <v>0</v>
      </c>
      <c r="K565" s="1026">
        <f t="shared" ca="1" si="299"/>
        <v>0</v>
      </c>
      <c r="L565" s="1026">
        <f t="shared" ca="1" si="299"/>
        <v>0</v>
      </c>
      <c r="M565" s="1026">
        <f t="shared" ca="1" si="299"/>
        <v>0</v>
      </c>
      <c r="N565" s="1026">
        <f t="shared" ca="1" si="299"/>
        <v>0</v>
      </c>
      <c r="O565" s="1026">
        <f t="shared" ca="1" si="299"/>
        <v>0</v>
      </c>
      <c r="P565" s="1026">
        <f t="shared" ca="1" si="299"/>
        <v>0</v>
      </c>
      <c r="Q565" s="1256">
        <f ca="1">IF(AND(Q$5=-99,NoResCol=1),0,OFFSET(Q563,0,-1)-OFFSET(Q563,1,0))</f>
        <v>0</v>
      </c>
      <c r="R565" s="321"/>
      <c r="S565" s="319" t="s">
        <v>73</v>
      </c>
    </row>
    <row r="566" spans="1:19" ht="11.25" hidden="1" customHeight="1" x14ac:dyDescent="0.35">
      <c r="A566" s="235"/>
      <c r="B566" s="445"/>
      <c r="C566" s="507" t="s">
        <v>5612</v>
      </c>
      <c r="D566" s="1117"/>
      <c r="E566" s="1252" t="s">
        <v>5613</v>
      </c>
      <c r="F566" s="959">
        <f ca="1">OFFSET($E$776,0,F$8)</f>
        <v>0</v>
      </c>
      <c r="G566" s="1055">
        <f t="shared" ref="G566:P566" ca="1" si="300">G$776</f>
        <v>0</v>
      </c>
      <c r="H566" s="1055">
        <f t="shared" ca="1" si="300"/>
        <v>0</v>
      </c>
      <c r="I566" s="1055">
        <f t="shared" ca="1" si="300"/>
        <v>0</v>
      </c>
      <c r="J566" s="1055">
        <f t="shared" ca="1" si="300"/>
        <v>0</v>
      </c>
      <c r="K566" s="1055">
        <f t="shared" ca="1" si="300"/>
        <v>0</v>
      </c>
      <c r="L566" s="1055">
        <f t="shared" ca="1" si="300"/>
        <v>0</v>
      </c>
      <c r="M566" s="1055">
        <f t="shared" ca="1" si="300"/>
        <v>0</v>
      </c>
      <c r="N566" s="1055">
        <f t="shared" ca="1" si="300"/>
        <v>0</v>
      </c>
      <c r="O566" s="1055">
        <f t="shared" ca="1" si="300"/>
        <v>0</v>
      </c>
      <c r="P566" s="1055">
        <f t="shared" ca="1" si="300"/>
        <v>0</v>
      </c>
      <c r="Q566" s="1273"/>
      <c r="R566" s="321"/>
      <c r="S566" s="319" t="s">
        <v>73</v>
      </c>
    </row>
    <row r="567" spans="1:19" ht="11.25" hidden="1" customHeight="1" x14ac:dyDescent="0.35">
      <c r="A567" s="235"/>
      <c r="B567" s="445"/>
      <c r="C567" s="434" t="s">
        <v>5631</v>
      </c>
      <c r="D567" s="1118"/>
      <c r="E567" s="1251" t="s">
        <v>5614</v>
      </c>
      <c r="F567" s="971">
        <f ca="1">SUM(OFFSET(F566,0,-1))-F566</f>
        <v>0</v>
      </c>
      <c r="G567" s="1025"/>
      <c r="H567" s="1025"/>
      <c r="I567" s="1025"/>
      <c r="J567" s="1025"/>
      <c r="K567" s="1025"/>
      <c r="L567" s="1025"/>
      <c r="M567" s="1025"/>
      <c r="N567" s="1025"/>
      <c r="O567" s="1025"/>
      <c r="P567" s="1025"/>
      <c r="Q567" s="1256">
        <f ca="1">IF(AND(Q$5=-99,NoResCol=1),0,OFFSET($E$566,0,Q$8-1)-OFFSET($E$566,0,Q$8))</f>
        <v>0</v>
      </c>
      <c r="R567" s="321"/>
      <c r="S567" s="319" t="s">
        <v>73</v>
      </c>
    </row>
    <row r="568" spans="1:19" ht="11.25" hidden="1" customHeight="1" x14ac:dyDescent="0.35">
      <c r="A568" s="235"/>
      <c r="B568" s="445"/>
      <c r="C568" s="507" t="s">
        <v>952</v>
      </c>
      <c r="D568" s="1117"/>
      <c r="E568" s="509" t="s">
        <v>953</v>
      </c>
      <c r="F568" s="959">
        <f ca="1">OFFSET($E$777,0,F$8)</f>
        <v>0</v>
      </c>
      <c r="G568" s="1055">
        <f ca="1">G777</f>
        <v>0</v>
      </c>
      <c r="H568" s="1055">
        <f t="shared" ref="H568:P568" ca="1" si="301">OFFSET(H568,0,-1)-OFFSET(H568,1,0)</f>
        <v>0</v>
      </c>
      <c r="I568" s="1055">
        <f t="shared" ca="1" si="301"/>
        <v>0</v>
      </c>
      <c r="J568" s="1055">
        <f t="shared" ca="1" si="301"/>
        <v>0</v>
      </c>
      <c r="K568" s="1055">
        <f t="shared" ca="1" si="301"/>
        <v>0</v>
      </c>
      <c r="L568" s="1055">
        <f t="shared" ca="1" si="301"/>
        <v>0</v>
      </c>
      <c r="M568" s="1055">
        <f t="shared" ca="1" si="301"/>
        <v>0</v>
      </c>
      <c r="N568" s="1055">
        <f t="shared" ca="1" si="301"/>
        <v>0</v>
      </c>
      <c r="O568" s="1055">
        <f t="shared" ca="1" si="301"/>
        <v>0</v>
      </c>
      <c r="P568" s="1055">
        <f t="shared" ca="1" si="301"/>
        <v>0</v>
      </c>
      <c r="Q568" s="1273"/>
      <c r="R568" s="321"/>
      <c r="S568" s="319" t="s">
        <v>73</v>
      </c>
    </row>
    <row r="569" spans="1:19" ht="11.25" hidden="1" customHeight="1" x14ac:dyDescent="0.35">
      <c r="A569" s="235"/>
      <c r="B569" s="445"/>
      <c r="C569" s="434" t="s">
        <v>5466</v>
      </c>
      <c r="D569" s="1118"/>
      <c r="E569" s="324" t="s">
        <v>954</v>
      </c>
      <c r="F569" s="971">
        <f ca="1">SUM(OFFSET(F568,0,-1))-F568</f>
        <v>0</v>
      </c>
      <c r="G569" s="1025"/>
      <c r="H569" s="1025"/>
      <c r="I569" s="1025"/>
      <c r="J569" s="1025"/>
      <c r="K569" s="1025"/>
      <c r="L569" s="1025"/>
      <c r="M569" s="1025"/>
      <c r="N569" s="1025"/>
      <c r="O569" s="1025"/>
      <c r="P569" s="1025"/>
      <c r="Q569" s="1256">
        <f ca="1">IF(AND(Q$5=-99,NoResCol=1),0,OFFSET($E$568,0,Q$8-1)-OFFSET($E$568,0,Q$8))</f>
        <v>0</v>
      </c>
      <c r="R569" s="321"/>
      <c r="S569" s="319" t="s">
        <v>73</v>
      </c>
    </row>
    <row r="570" spans="1:19" ht="11.25" hidden="1" customHeight="1" x14ac:dyDescent="0.35">
      <c r="A570" s="235"/>
      <c r="B570" s="445"/>
      <c r="C570" s="507" t="s">
        <v>5621</v>
      </c>
      <c r="D570" s="1117"/>
      <c r="E570" s="1252" t="s">
        <v>5628</v>
      </c>
      <c r="F570" s="959">
        <f ca="1">OFFSET($E$778,0,F$8)</f>
        <v>0</v>
      </c>
      <c r="G570" s="1055">
        <f t="shared" ref="G570:P570" ca="1" si="302">G$778</f>
        <v>0</v>
      </c>
      <c r="H570" s="1055">
        <f t="shared" ca="1" si="302"/>
        <v>0</v>
      </c>
      <c r="I570" s="1055">
        <f t="shared" ca="1" si="302"/>
        <v>0</v>
      </c>
      <c r="J570" s="1055">
        <f t="shared" ca="1" si="302"/>
        <v>0</v>
      </c>
      <c r="K570" s="1055">
        <f t="shared" ca="1" si="302"/>
        <v>0</v>
      </c>
      <c r="L570" s="1055">
        <f t="shared" ca="1" si="302"/>
        <v>0</v>
      </c>
      <c r="M570" s="1055">
        <f t="shared" ca="1" si="302"/>
        <v>0</v>
      </c>
      <c r="N570" s="1055">
        <f t="shared" ca="1" si="302"/>
        <v>0</v>
      </c>
      <c r="O570" s="1055">
        <f t="shared" ca="1" si="302"/>
        <v>0</v>
      </c>
      <c r="P570" s="1055">
        <f t="shared" ca="1" si="302"/>
        <v>0</v>
      </c>
      <c r="Q570" s="1273"/>
      <c r="R570" s="321"/>
      <c r="S570" s="319" t="s">
        <v>73</v>
      </c>
    </row>
    <row r="571" spans="1:19" ht="11.25" hidden="1" customHeight="1" x14ac:dyDescent="0.35">
      <c r="A571" s="235"/>
      <c r="B571" s="445"/>
      <c r="C571" s="434" t="s">
        <v>5630</v>
      </c>
      <c r="D571" s="1118"/>
      <c r="E571" s="1251" t="s">
        <v>5629</v>
      </c>
      <c r="F571" s="971">
        <f ca="1">SUM(OFFSET(F570,0,-1))-F570</f>
        <v>0</v>
      </c>
      <c r="G571" s="1025"/>
      <c r="H571" s="1025"/>
      <c r="I571" s="1025"/>
      <c r="J571" s="1025"/>
      <c r="K571" s="1025"/>
      <c r="L571" s="1025"/>
      <c r="M571" s="1025"/>
      <c r="N571" s="1025"/>
      <c r="O571" s="1025"/>
      <c r="P571" s="1025"/>
      <c r="Q571" s="1256">
        <f ca="1">IF(AND(Q$5=-99,NoResCol=1),0,OFFSET($E$570,0,Q$8-1)-OFFSET($E$570,0,Q$8))</f>
        <v>0</v>
      </c>
      <c r="R571" s="321"/>
      <c r="S571" s="319" t="s">
        <v>73</v>
      </c>
    </row>
    <row r="572" spans="1:19" ht="11.25" hidden="1" customHeight="1" x14ac:dyDescent="0.35">
      <c r="A572" s="434"/>
      <c r="B572" s="445"/>
      <c r="C572" s="507" t="s">
        <v>955</v>
      </c>
      <c r="D572" s="1117"/>
      <c r="E572" s="509" t="s">
        <v>956</v>
      </c>
      <c r="F572" s="959"/>
      <c r="G572" s="1055">
        <f ca="1">-OFFSET(G572,1,0)</f>
        <v>0</v>
      </c>
      <c r="H572" s="1055">
        <f t="shared" ref="H572:P572" ca="1" si="303">OFFSET(H572,0,-1)-OFFSET(H572,1,0)</f>
        <v>0</v>
      </c>
      <c r="I572" s="1055">
        <f t="shared" ca="1" si="303"/>
        <v>0</v>
      </c>
      <c r="J572" s="1055">
        <f t="shared" ca="1" si="303"/>
        <v>0</v>
      </c>
      <c r="K572" s="1055">
        <f t="shared" ca="1" si="303"/>
        <v>0</v>
      </c>
      <c r="L572" s="1055">
        <f t="shared" ca="1" si="303"/>
        <v>0</v>
      </c>
      <c r="M572" s="1055">
        <f t="shared" ca="1" si="303"/>
        <v>0</v>
      </c>
      <c r="N572" s="1055">
        <f t="shared" ca="1" si="303"/>
        <v>0</v>
      </c>
      <c r="O572" s="1055">
        <f t="shared" ca="1" si="303"/>
        <v>0</v>
      </c>
      <c r="P572" s="1055">
        <f t="shared" ca="1" si="303"/>
        <v>0</v>
      </c>
      <c r="Q572" s="1273"/>
      <c r="R572" s="381"/>
      <c r="S572" s="319" t="s">
        <v>73</v>
      </c>
    </row>
    <row r="573" spans="1:19" ht="11.25" hidden="1" customHeight="1" x14ac:dyDescent="0.35">
      <c r="A573" s="235"/>
      <c r="B573" s="445"/>
      <c r="C573" s="506" t="s">
        <v>957</v>
      </c>
      <c r="D573" s="1125"/>
      <c r="E573" s="385" t="s">
        <v>958</v>
      </c>
      <c r="F573" s="961"/>
      <c r="G573" s="1030"/>
      <c r="H573" s="1030"/>
      <c r="I573" s="1030"/>
      <c r="J573" s="1030"/>
      <c r="K573" s="1030"/>
      <c r="L573" s="1030"/>
      <c r="M573" s="1030"/>
      <c r="N573" s="1030"/>
      <c r="O573" s="1030"/>
      <c r="P573" s="1030"/>
      <c r="Q573" s="1258">
        <f ca="1">IF(AND(Q$5=-99,NoResCol=1),0,OFFSET($E$572,0,Q$8-1)-OFFSET($E$572,0,Q$8))</f>
        <v>0</v>
      </c>
      <c r="R573" s="321"/>
      <c r="S573" s="319" t="s">
        <v>73</v>
      </c>
    </row>
    <row r="574" spans="1:19" ht="11.25" customHeight="1" x14ac:dyDescent="0.35">
      <c r="A574" s="235"/>
      <c r="B574" s="510"/>
      <c r="C574" s="511" t="s">
        <v>959</v>
      </c>
      <c r="D574" s="1144"/>
      <c r="E574" s="337" t="s">
        <v>960</v>
      </c>
      <c r="F574" s="1057">
        <f ca="1">F549+IF(ReceivablesSpec,F553+F557+F561+F565,0)+OFFSET($E$567,0,F$8)+OFFSET($E$569,0,F$8)+OFFSET($E$571,0,F$8)+OFFSET($E$573,0,F$8)</f>
        <v>0</v>
      </c>
      <c r="G574" s="1057">
        <f ca="1">IF(NoZeroCol=1,0,G549+IF(ReceivablesSpec,G553+G557+G561+G565,0)+OFFSET($E$567,0,G$8)+OFFSET($E$569,0,G$8)+OFFSET($E$571,0,G$8)+OFFSET($E$573,0,G$8))</f>
        <v>0</v>
      </c>
      <c r="H574" s="1057">
        <f t="shared" ref="H574:P574" ca="1" si="304">H549+IF(ReceivablesSpec,H553+H557+H561+H565,0)+OFFSET($E$567,0,H$8)+OFFSET($E$569,0,H$8)+OFFSET($E$571,0,H$8)+OFFSET($E$573,0,H$8)</f>
        <v>-945000</v>
      </c>
      <c r="I574" s="1057">
        <f t="shared" ca="1" si="304"/>
        <v>-16117.494739814778</v>
      </c>
      <c r="J574" s="1057">
        <f t="shared" ca="1" si="304"/>
        <v>-16392.387477050885</v>
      </c>
      <c r="K574" s="1057">
        <f t="shared" ca="1" si="304"/>
        <v>-16671.968661108171</v>
      </c>
      <c r="L574" s="1057">
        <f t="shared" ca="1" si="304"/>
        <v>-223690.91644754412</v>
      </c>
      <c r="M574" s="1057">
        <f t="shared" ca="1" si="304"/>
        <v>-274021.37264824123</v>
      </c>
      <c r="N574" s="1057">
        <f t="shared" ca="1" si="304"/>
        <v>-335676.18149409606</v>
      </c>
      <c r="O574" s="1057">
        <f t="shared" ca="1" si="304"/>
        <v>-411203.32233026694</v>
      </c>
      <c r="P574" s="1057">
        <f t="shared" ca="1" si="304"/>
        <v>-503724.069854578</v>
      </c>
      <c r="Q574" s="1274">
        <f ca="1">IF(NoResCol=1,0,Q549+IF(ReceivablesSpec,Q553+Q557+Q561+Q565,0)+OFFSET($E$567,0,Q$8)+OFFSET($E$569,0,Q$8)+OFFSET($E$571,0,Q$8)+OFFSET($E$573,0,Q$8))</f>
        <v>2742497.7136527002</v>
      </c>
      <c r="R574" s="321"/>
      <c r="S574" s="319" t="s">
        <v>71</v>
      </c>
    </row>
    <row r="575" spans="1:19" ht="11.25" customHeight="1" x14ac:dyDescent="0.35">
      <c r="A575" s="235"/>
      <c r="B575" s="441" t="s">
        <v>961</v>
      </c>
      <c r="C575" s="503"/>
      <c r="D575" s="1117"/>
      <c r="E575" s="380" t="s">
        <v>962</v>
      </c>
      <c r="F575" s="959"/>
      <c r="G575" s="1054">
        <f>-G596</f>
        <v>0</v>
      </c>
      <c r="H575" s="1054">
        <f t="shared" ref="H575:Q575" ca="1" si="305">OFFSET(H575,0,-1)-H596</f>
        <v>661500</v>
      </c>
      <c r="I575" s="1054">
        <f t="shared" ca="1" si="305"/>
        <v>1003532.2463178703</v>
      </c>
      <c r="J575" s="1054">
        <f t="shared" ca="1" si="305"/>
        <v>1020648.0407107412</v>
      </c>
      <c r="K575" s="1054">
        <f t="shared" ca="1" si="305"/>
        <v>1038055.7543904847</v>
      </c>
      <c r="L575" s="1054">
        <f t="shared" ca="1" si="305"/>
        <v>1136681.2495038167</v>
      </c>
      <c r="M575" s="1054">
        <f t="shared" ref="M575:N575" ca="1" si="306">OFFSET(M575,0,-1)-M596</f>
        <v>1392434.5306421751</v>
      </c>
      <c r="N575" s="1054">
        <f t="shared" ca="1" si="306"/>
        <v>1705732.3000366648</v>
      </c>
      <c r="O575" s="1054">
        <f t="shared" ref="O575:P575" ca="1" si="307">OFFSET(O575,0,-1)-O596</f>
        <v>2089522.0675449143</v>
      </c>
      <c r="P575" s="1054">
        <f t="shared" ca="1" si="307"/>
        <v>2559664.5327425199</v>
      </c>
      <c r="Q575" s="1270">
        <f t="shared" ca="1" si="305"/>
        <v>0</v>
      </c>
      <c r="R575" s="321"/>
      <c r="S575" s="319" t="s">
        <v>71</v>
      </c>
    </row>
    <row r="576" spans="1:19" ht="11.25" customHeight="1" x14ac:dyDescent="0.35">
      <c r="A576" s="235"/>
      <c r="B576" s="504" t="str">
        <f>IF(InventoriesSpec,"1","")</f>
        <v/>
      </c>
      <c r="C576" s="434" t="s">
        <v>5397</v>
      </c>
      <c r="D576" s="1118"/>
      <c r="E576" s="324" t="s">
        <v>965</v>
      </c>
      <c r="F576" s="1026">
        <f>IF((+F$460)&lt;&gt;0,(F577/ABS(+F$460))*(F$544*30),0)</f>
        <v>0</v>
      </c>
      <c r="G576" s="1025"/>
      <c r="H576" s="1025">
        <v>40</v>
      </c>
      <c r="I576" s="1025">
        <f t="shared" ref="I576:P576" ca="1" si="308">OFFSET(I576,0,-1)*(1+((1+0/100)^(1/(12/I$12))-1))</f>
        <v>40</v>
      </c>
      <c r="J576" s="1025">
        <f t="shared" ca="1" si="308"/>
        <v>40</v>
      </c>
      <c r="K576" s="1025">
        <f t="shared" ca="1" si="308"/>
        <v>40</v>
      </c>
      <c r="L576" s="1025">
        <f t="shared" ca="1" si="308"/>
        <v>40</v>
      </c>
      <c r="M576" s="1025">
        <f t="shared" ca="1" si="308"/>
        <v>40</v>
      </c>
      <c r="N576" s="1025">
        <f t="shared" ca="1" si="308"/>
        <v>40</v>
      </c>
      <c r="O576" s="1025">
        <f t="shared" ca="1" si="308"/>
        <v>40</v>
      </c>
      <c r="P576" s="1025">
        <f t="shared" ca="1" si="308"/>
        <v>40</v>
      </c>
      <c r="Q576" s="1256"/>
      <c r="R576" s="321"/>
      <c r="S576" s="319" t="s">
        <v>71</v>
      </c>
    </row>
    <row r="577" spans="1:19" ht="11.25" customHeight="1" x14ac:dyDescent="0.35">
      <c r="A577" s="235"/>
      <c r="B577" s="445"/>
      <c r="C577" s="505" t="str">
        <f>$B$575</f>
        <v>Inventories</v>
      </c>
      <c r="D577" s="1123"/>
      <c r="E577" s="324" t="s">
        <v>964</v>
      </c>
      <c r="F577" s="971">
        <f ca="1">OFFSET($G$774,0,F$5)</f>
        <v>0</v>
      </c>
      <c r="G577" s="1026">
        <f ca="1">IF(ISBLANK(OFFSET(G577,1,0)),OFFSET(G577,0,-1),OFFSET(G577,1,0))</f>
        <v>0</v>
      </c>
      <c r="H577" s="1026">
        <f ca="1">IF(ISBLANK(OFFSET(H577,1,0)),OFFSET(H577,0,-1)-H579,OFFSET(H577,1,0))</f>
        <v>661500</v>
      </c>
      <c r="I577" s="1026">
        <f t="shared" ref="I577:Q577" ca="1" si="309">IF(ISBLANK(OFFSET(I577,1,0)),OFFSET(I577,0,-1)-I579,OFFSET(I577,1,0))</f>
        <v>1003532.2463178703</v>
      </c>
      <c r="J577" s="1026">
        <f t="shared" ca="1" si="309"/>
        <v>1020648.0407107412</v>
      </c>
      <c r="K577" s="1026">
        <f t="shared" ca="1" si="309"/>
        <v>1038055.7543904847</v>
      </c>
      <c r="L577" s="1026">
        <f t="shared" ca="1" si="309"/>
        <v>1136681.2495038167</v>
      </c>
      <c r="M577" s="1026">
        <f t="shared" ref="M577:N577" ca="1" si="310">IF(ISBLANK(OFFSET(M577,1,0)),OFFSET(M577,0,-1)-M579,OFFSET(M577,1,0))</f>
        <v>1392434.5306421751</v>
      </c>
      <c r="N577" s="1026">
        <f t="shared" ca="1" si="310"/>
        <v>1705732.3000366648</v>
      </c>
      <c r="O577" s="1026">
        <f t="shared" ref="O577:P577" ca="1" si="311">IF(ISBLANK(OFFSET(O577,1,0)),OFFSET(O577,0,-1)-O579,OFFSET(O577,1,0))</f>
        <v>2089522.0675449143</v>
      </c>
      <c r="P577" s="1026">
        <f t="shared" ca="1" si="311"/>
        <v>2559664.5327425199</v>
      </c>
      <c r="Q577" s="1256">
        <f t="shared" ca="1" si="309"/>
        <v>0</v>
      </c>
      <c r="R577" s="321"/>
      <c r="S577" s="319" t="s">
        <v>71</v>
      </c>
    </row>
    <row r="578" spans="1:19" ht="11.25" customHeight="1" x14ac:dyDescent="0.35">
      <c r="A578" s="235"/>
      <c r="B578" s="445"/>
      <c r="C578" s="434" t="s">
        <v>5396</v>
      </c>
      <c r="D578" s="1118"/>
      <c r="E578" s="324" t="s">
        <v>5372</v>
      </c>
      <c r="F578" s="1218"/>
      <c r="G578" s="1025"/>
      <c r="H578" s="1025"/>
      <c r="I578" s="1025"/>
      <c r="J578" s="1025"/>
      <c r="K578" s="1025"/>
      <c r="L578" s="1025"/>
      <c r="M578" s="1025"/>
      <c r="N578" s="1025"/>
      <c r="O578" s="1025"/>
      <c r="P578" s="1025"/>
      <c r="Q578" s="1271"/>
      <c r="R578" s="321"/>
      <c r="S578" s="319" t="s">
        <v>71</v>
      </c>
    </row>
    <row r="579" spans="1:19" ht="11.25" customHeight="1" x14ac:dyDescent="0.35">
      <c r="A579" s="235"/>
      <c r="B579" s="445"/>
      <c r="C579" s="506" t="s">
        <v>5426</v>
      </c>
      <c r="D579" s="1125"/>
      <c r="E579" s="385" t="s">
        <v>963</v>
      </c>
      <c r="F579" s="961">
        <f ca="1">SUM(OFFSET(F577,0,-1))-F577</f>
        <v>0</v>
      </c>
      <c r="G579" s="1058">
        <f ca="1">IF(NOT(ISBLANK(OFFSET(G577,1,0))),OFFSET(G577,0,-1)-G577,0)</f>
        <v>0</v>
      </c>
      <c r="H579" s="1058">
        <f t="shared" ref="H579" ca="1" si="312">IF(NOT(ISBLANK(H$578)),OFFSET(H$577,0,-1)-H$577,IF(H$576&lt;&gt;0,(MIN(H$576,H$544*30)/(H$544*30))*(+H$460),0))</f>
        <v>-661500</v>
      </c>
      <c r="I579" s="1058">
        <f ca="1">IF(NOT(ISBLANK(I$578)),OFFSET(I$577,0,-1)-I$577,IF(I$576&lt;&gt;0,(MIN(I$576,I$544*30)/(I$544*30))*(+I$460),0)+(20/($H$576))*IF(NOT(ISBLANK($H$578)),$H$577,(MIN($H$576,$H$544*30)/($H$544*30))*-(+$H$460)))</f>
        <v>-342032.24631787033</v>
      </c>
      <c r="J579" s="1058">
        <f ca="1">IF(NOT(ISBLANK(J$578)),OFFSET(J$577,0,-1)-J$577,IF(J$576&lt;&gt;0,(MIN(J$576,J$544*30)/(J$544*30))*(+J$460),0)+(20/($H$576))*IF(NOT(ISBLANK($H$578)),$H$577,(MIN($H$576,$H$544*30)/($H$544*30))*-(+$H$460))+(20/($I$576))*IF(NOT(ISBLANK($I$578)),$I$577,(MIN($I$576,$I$544*30)/($I$544*30))*-(+$I$460)))</f>
        <v>-17115.794392870797</v>
      </c>
      <c r="K579" s="1058">
        <f ca="1">IF(NOT(ISBLANK(K$578)),OFFSET(K$577,0,-1)-K$577,IF(K$576&lt;&gt;0,(MIN(K$576,K$544*30)/(K$544*30))*(+K$460),0)+(20/($I$576))*IF(NOT(ISBLANK($I$578)),$I$577,(MIN($I$576,$I$544*30)/($I$544*30))*-(+$I$460))+(20/($J$576))*IF(NOT(ISBLANK($J$578)),$J$577,(MIN($J$576,$J$544*30)/($J$544*30))*-(+$J$460)))</f>
        <v>-17407.713679743523</v>
      </c>
      <c r="L579" s="1058">
        <f ca="1">IF(NOT(ISBLANK(L$578)),OFFSET(L$577,0,-1)-L$577,IF(L$576&lt;&gt;0,(MIN(L$576,L$544*30)/(L$544*30))*(+L$460),0)+(20/($J$576))*IF(NOT(ISBLANK($J$578)),$J$577,(MIN($J$576,$J$544*30)/($J$544*30))*-(+$J$460))+(40/($K$576))*IF(NOT(ISBLANK($K$578)),$K$577,(MIN($K$576,$K$544*30)/($K$544*30))*-(+$K$460)))</f>
        <v>-98625.495113332057</v>
      </c>
      <c r="M579" s="1058">
        <f ca="1">IF(NOT(ISBLANK(M$578)),OFFSET(M$577,0,-1)-M$577,IF(M$576&lt;&gt;0,(MIN(M$576,M$544*30)/(M$544*30))*(+M$460),0)+(40/($L$576))*IF(NOT(ISBLANK($L$578)),$L$577,(MIN($L$576,$L$544*30)/($L$544*30))*-(+$L$460)))</f>
        <v>-255753.2811383584</v>
      </c>
      <c r="N579" s="1058">
        <f ca="1">IF(NOT(ISBLANK(N$578)),OFFSET(N$577,0,-1)-N$577,IF(N$576&lt;&gt;0,(MIN(N$576,N$544*30)/(N$544*30))*(+N$460),0)+(40/($M$576))*IF(NOT(ISBLANK($M$578)),$M$577,(MIN($M$576,$M$544*30)/($M$544*30))*-(+$M$460)))</f>
        <v>-313297.7693944897</v>
      </c>
      <c r="O579" s="1058">
        <f ca="1">IF(NOT(ISBLANK(O$578)),OFFSET(O$577,0,-1)-O$577,IF(O$576&lt;&gt;0,(MIN(O$576,O$544*30)/(O$544*30))*(+O$460),0)+(40/($N$576))*IF(NOT(ISBLANK($N$578)),$N$577,(MIN($N$576,$N$544*30)/($N$544*30))*-(+$N$460)))</f>
        <v>-383789.7675082495</v>
      </c>
      <c r="P579" s="1058">
        <f ca="1">IF(NOT(ISBLANK(P$578)),OFFSET(P$577,0,-1)-P$577,IF(P$576&lt;&gt;0,(MIN(P$576,P$544*30)/(P$544*30))*(+P$460),0)+(40/($O$576))*IF(NOT(ISBLANK($O$578)),$O$577,(MIN($O$576,$O$544*30)/($O$544*30))*-(+$O$460)))</f>
        <v>-470142.46519760555</v>
      </c>
      <c r="Q579" s="1258">
        <f ca="1">IF(AND(Q$5=-99,NoResCol=1),0,OFFSET(Q577,0,-1)-OFFSET(Q577,1,0))</f>
        <v>2559664.5327425199</v>
      </c>
      <c r="R579" s="321"/>
      <c r="S579" s="319" t="s">
        <v>71</v>
      </c>
    </row>
    <row r="580" spans="1:19" ht="11.25" hidden="1" customHeight="1" x14ac:dyDescent="0.35">
      <c r="A580" s="235"/>
      <c r="B580" s="445">
        <v>2</v>
      </c>
      <c r="C580" s="434" t="s">
        <v>5397</v>
      </c>
      <c r="D580" s="1118"/>
      <c r="E580" s="324" t="s">
        <v>5213</v>
      </c>
      <c r="F580" s="1026">
        <f>IF((+F$460)&lt;&gt;0,(F581/ABS(+F$460))*(F$544*30),0)</f>
        <v>0</v>
      </c>
      <c r="G580" s="1025"/>
      <c r="H580" s="1025"/>
      <c r="I580" s="1025"/>
      <c r="J580" s="1025"/>
      <c r="K580" s="1025"/>
      <c r="L580" s="1025"/>
      <c r="M580" s="1025"/>
      <c r="N580" s="1025"/>
      <c r="O580" s="1025"/>
      <c r="P580" s="1025"/>
      <c r="Q580" s="1256"/>
      <c r="R580" s="321"/>
      <c r="S580" s="319" t="s">
        <v>73</v>
      </c>
    </row>
    <row r="581" spans="1:19" ht="11.25" hidden="1" customHeight="1" x14ac:dyDescent="0.35">
      <c r="A581" s="235"/>
      <c r="B581" s="445"/>
      <c r="C581" s="508" t="s">
        <v>5267</v>
      </c>
      <c r="D581" s="1123"/>
      <c r="E581" s="324" t="s">
        <v>5212</v>
      </c>
      <c r="F581" s="971"/>
      <c r="G581" s="1026">
        <f ca="1">IF(ISBLANK(OFFSET(G581,1,0)),OFFSET(G581,0,-1),OFFSET(G581,1,0))</f>
        <v>0</v>
      </c>
      <c r="H581" s="1026">
        <f ca="1">IF(ISBLANK(OFFSET(H581,1,0)),OFFSET(H581,0,-1)-H583,OFFSET(H581,1,0))</f>
        <v>0</v>
      </c>
      <c r="I581" s="1026">
        <f t="shared" ref="I581:Q581" ca="1" si="313">IF(ISBLANK(OFFSET(I581,1,0)),OFFSET(I581,0,-1)-I583,OFFSET(I581,1,0))</f>
        <v>0</v>
      </c>
      <c r="J581" s="1026">
        <f t="shared" ca="1" si="313"/>
        <v>0</v>
      </c>
      <c r="K581" s="1026">
        <f t="shared" ca="1" si="313"/>
        <v>0</v>
      </c>
      <c r="L581" s="1026">
        <f t="shared" ca="1" si="313"/>
        <v>0</v>
      </c>
      <c r="M581" s="1026">
        <f t="shared" ref="M581:N581" ca="1" si="314">IF(ISBLANK(OFFSET(M581,1,0)),OFFSET(M581,0,-1)-M583,OFFSET(M581,1,0))</f>
        <v>0</v>
      </c>
      <c r="N581" s="1026">
        <f t="shared" ca="1" si="314"/>
        <v>0</v>
      </c>
      <c r="O581" s="1026">
        <f t="shared" ref="O581:P581" ca="1" si="315">IF(ISBLANK(OFFSET(O581,1,0)),OFFSET(O581,0,-1)-O583,OFFSET(O581,1,0))</f>
        <v>0</v>
      </c>
      <c r="P581" s="1026">
        <f t="shared" ca="1" si="315"/>
        <v>0</v>
      </c>
      <c r="Q581" s="1256">
        <f t="shared" ca="1" si="313"/>
        <v>0</v>
      </c>
      <c r="R581" s="321"/>
      <c r="S581" s="319" t="s">
        <v>73</v>
      </c>
    </row>
    <row r="582" spans="1:19" ht="11.25" hidden="1" customHeight="1" x14ac:dyDescent="0.35">
      <c r="A582" s="235"/>
      <c r="B582" s="445"/>
      <c r="C582" s="434" t="s">
        <v>5371</v>
      </c>
      <c r="D582" s="1118"/>
      <c r="E582" s="324" t="s">
        <v>5373</v>
      </c>
      <c r="F582" s="1026"/>
      <c r="G582" s="1025"/>
      <c r="H582" s="1025"/>
      <c r="I582" s="1025"/>
      <c r="J582" s="1025"/>
      <c r="K582" s="1025"/>
      <c r="L582" s="1025"/>
      <c r="M582" s="1025"/>
      <c r="N582" s="1025"/>
      <c r="O582" s="1025"/>
      <c r="P582" s="1025"/>
      <c r="Q582" s="1271"/>
      <c r="R582" s="321"/>
      <c r="S582" s="319" t="s">
        <v>73</v>
      </c>
    </row>
    <row r="583" spans="1:19" ht="11.25" hidden="1" customHeight="1" x14ac:dyDescent="0.35">
      <c r="A583" s="235"/>
      <c r="B583" s="445"/>
      <c r="C583" s="506" t="s">
        <v>5426</v>
      </c>
      <c r="D583" s="1125"/>
      <c r="E583" s="385" t="s">
        <v>5211</v>
      </c>
      <c r="F583" s="961">
        <f ca="1">IF(InventoriesSpec,SUM(OFFSET(F581,0,-1))-F581,0)</f>
        <v>0</v>
      </c>
      <c r="G583" s="1058">
        <f ca="1">IF(NOT(ISBLANK(OFFSET(G581,1,0))),OFFSET(G581,0,-1)-G581,0)</f>
        <v>0</v>
      </c>
      <c r="H583" s="1058">
        <f t="shared" ref="H583:P583" ca="1" si="316">IF(NOT(ISBLANK(H$582)),OFFSET(H$581,0,-1)-H$581,IF(H$580&lt;&gt;0,(MIN(H$580,H$544*30)/(H$544*30))*(+H$460),0))</f>
        <v>0</v>
      </c>
      <c r="I583" s="1058">
        <f t="shared" ca="1" si="316"/>
        <v>0</v>
      </c>
      <c r="J583" s="1058">
        <f t="shared" ca="1" si="316"/>
        <v>0</v>
      </c>
      <c r="K583" s="1058">
        <f t="shared" ca="1" si="316"/>
        <v>0</v>
      </c>
      <c r="L583" s="1058">
        <f t="shared" ca="1" si="316"/>
        <v>0</v>
      </c>
      <c r="M583" s="1058">
        <f t="shared" ca="1" si="316"/>
        <v>0</v>
      </c>
      <c r="N583" s="1058">
        <f t="shared" ca="1" si="316"/>
        <v>0</v>
      </c>
      <c r="O583" s="1058">
        <f t="shared" ca="1" si="316"/>
        <v>0</v>
      </c>
      <c r="P583" s="1058">
        <f t="shared" ca="1" si="316"/>
        <v>0</v>
      </c>
      <c r="Q583" s="1258">
        <f ca="1">IF(AND(Q$5=-99,NoResCol=1),0,OFFSET(Q581,0,-1)-OFFSET(Q581,1,0))</f>
        <v>0</v>
      </c>
      <c r="R583" s="321"/>
      <c r="S583" s="319" t="s">
        <v>73</v>
      </c>
    </row>
    <row r="584" spans="1:19" ht="11.25" hidden="1" customHeight="1" x14ac:dyDescent="0.35">
      <c r="A584" s="235"/>
      <c r="B584" s="445">
        <v>3</v>
      </c>
      <c r="C584" s="434" t="s">
        <v>5397</v>
      </c>
      <c r="D584" s="1118"/>
      <c r="E584" s="324" t="s">
        <v>5216</v>
      </c>
      <c r="F584" s="1026">
        <f>IF((+F$460)&lt;&gt;0,(F585/ABS(+F$460))*(F$544*30),0)</f>
        <v>0</v>
      </c>
      <c r="G584" s="1025"/>
      <c r="H584" s="1025"/>
      <c r="I584" s="1025"/>
      <c r="J584" s="1025"/>
      <c r="K584" s="1025"/>
      <c r="L584" s="1025"/>
      <c r="M584" s="1025"/>
      <c r="N584" s="1025"/>
      <c r="O584" s="1025"/>
      <c r="P584" s="1025"/>
      <c r="Q584" s="1256"/>
      <c r="R584" s="321"/>
      <c r="S584" s="319" t="s">
        <v>73</v>
      </c>
    </row>
    <row r="585" spans="1:19" ht="11.25" hidden="1" customHeight="1" x14ac:dyDescent="0.35">
      <c r="A585" s="235"/>
      <c r="B585" s="445"/>
      <c r="C585" s="508" t="s">
        <v>5268</v>
      </c>
      <c r="D585" s="1123"/>
      <c r="E585" s="324" t="s">
        <v>5215</v>
      </c>
      <c r="F585" s="971"/>
      <c r="G585" s="1026">
        <f ca="1">IF(ISBLANK(OFFSET(G585,1,0)),OFFSET(G585,0,-1),OFFSET(G585,1,0))</f>
        <v>0</v>
      </c>
      <c r="H585" s="1026">
        <f ca="1">IF(ISBLANK(OFFSET(H585,1,0)),OFFSET(H585,0,-1)-H587,OFFSET(H585,1,0))</f>
        <v>0</v>
      </c>
      <c r="I585" s="1026">
        <f t="shared" ref="I585:Q585" ca="1" si="317">IF(ISBLANK(OFFSET(I585,1,0)),OFFSET(I585,0,-1)-I587,OFFSET(I585,1,0))</f>
        <v>0</v>
      </c>
      <c r="J585" s="1026">
        <f t="shared" ca="1" si="317"/>
        <v>0</v>
      </c>
      <c r="K585" s="1026">
        <f t="shared" ca="1" si="317"/>
        <v>0</v>
      </c>
      <c r="L585" s="1026">
        <f t="shared" ca="1" si="317"/>
        <v>0</v>
      </c>
      <c r="M585" s="1026">
        <f t="shared" ref="M585:N585" ca="1" si="318">IF(ISBLANK(OFFSET(M585,1,0)),OFFSET(M585,0,-1)-M587,OFFSET(M585,1,0))</f>
        <v>0</v>
      </c>
      <c r="N585" s="1026">
        <f t="shared" ca="1" si="318"/>
        <v>0</v>
      </c>
      <c r="O585" s="1026">
        <f t="shared" ref="O585:P585" ca="1" si="319">IF(ISBLANK(OFFSET(O585,1,0)),OFFSET(O585,0,-1)-O587,OFFSET(O585,1,0))</f>
        <v>0</v>
      </c>
      <c r="P585" s="1026">
        <f t="shared" ca="1" si="319"/>
        <v>0</v>
      </c>
      <c r="Q585" s="1256">
        <f t="shared" ca="1" si="317"/>
        <v>0</v>
      </c>
      <c r="R585" s="321"/>
      <c r="S585" s="319" t="s">
        <v>73</v>
      </c>
    </row>
    <row r="586" spans="1:19" ht="11.25" hidden="1" customHeight="1" x14ac:dyDescent="0.35">
      <c r="A586" s="235"/>
      <c r="B586" s="445"/>
      <c r="C586" s="434" t="s">
        <v>5396</v>
      </c>
      <c r="D586" s="1118"/>
      <c r="E586" s="324" t="s">
        <v>5374</v>
      </c>
      <c r="F586" s="1026"/>
      <c r="G586" s="1025"/>
      <c r="H586" s="1025"/>
      <c r="I586" s="1025"/>
      <c r="J586" s="1025"/>
      <c r="K586" s="1025"/>
      <c r="L586" s="1025"/>
      <c r="M586" s="1025"/>
      <c r="N586" s="1025"/>
      <c r="O586" s="1025"/>
      <c r="P586" s="1025"/>
      <c r="Q586" s="1271"/>
      <c r="R586" s="321"/>
      <c r="S586" s="319" t="s">
        <v>73</v>
      </c>
    </row>
    <row r="587" spans="1:19" ht="11.25" hidden="1" customHeight="1" x14ac:dyDescent="0.35">
      <c r="A587" s="235"/>
      <c r="B587" s="445"/>
      <c r="C587" s="506" t="s">
        <v>5426</v>
      </c>
      <c r="D587" s="1125"/>
      <c r="E587" s="385" t="s">
        <v>5214</v>
      </c>
      <c r="F587" s="961">
        <f ca="1">IF(InventoriesSpec,SUM(OFFSET(F585,0,-1))-F585,0)</f>
        <v>0</v>
      </c>
      <c r="G587" s="1058">
        <f ca="1">IF(NOT(ISBLANK(OFFSET(G585,1,0))),OFFSET(G585,0,-1)-G585,0)</f>
        <v>0</v>
      </c>
      <c r="H587" s="1058">
        <f t="shared" ref="H587:P587" ca="1" si="320">IF(NOT(ISBLANK(H$586)),OFFSET(H$585,0,-1)-H$585,IF(H$584&lt;&gt;0,(MIN(H$584,H$544*30)/(H$544*30))*(+H$460),0))</f>
        <v>0</v>
      </c>
      <c r="I587" s="1058">
        <f t="shared" ca="1" si="320"/>
        <v>0</v>
      </c>
      <c r="J587" s="1058">
        <f t="shared" ca="1" si="320"/>
        <v>0</v>
      </c>
      <c r="K587" s="1058">
        <f t="shared" ca="1" si="320"/>
        <v>0</v>
      </c>
      <c r="L587" s="1058">
        <f t="shared" ca="1" si="320"/>
        <v>0</v>
      </c>
      <c r="M587" s="1058">
        <f t="shared" ca="1" si="320"/>
        <v>0</v>
      </c>
      <c r="N587" s="1058">
        <f t="shared" ca="1" si="320"/>
        <v>0</v>
      </c>
      <c r="O587" s="1058">
        <f t="shared" ca="1" si="320"/>
        <v>0</v>
      </c>
      <c r="P587" s="1058">
        <f t="shared" ca="1" si="320"/>
        <v>0</v>
      </c>
      <c r="Q587" s="1258">
        <f ca="1">IF(AND(Q$5=-99,NoResCol=1),0,OFFSET(Q585,0,-1)-OFFSET(Q585,1,0))</f>
        <v>0</v>
      </c>
      <c r="R587" s="321"/>
      <c r="S587" s="319" t="s">
        <v>73</v>
      </c>
    </row>
    <row r="588" spans="1:19" ht="11.25" hidden="1" customHeight="1" x14ac:dyDescent="0.35">
      <c r="A588" s="235"/>
      <c r="B588" s="445">
        <v>4</v>
      </c>
      <c r="C588" s="434" t="s">
        <v>5397</v>
      </c>
      <c r="D588" s="1118"/>
      <c r="E588" s="324" t="s">
        <v>5378</v>
      </c>
      <c r="F588" s="1026">
        <f>IF((+F$460)&lt;&gt;0,(F589/ABS(+F$460))*(F$544*30),0)</f>
        <v>0</v>
      </c>
      <c r="G588" s="1025"/>
      <c r="H588" s="1025"/>
      <c r="I588" s="1025"/>
      <c r="J588" s="1025"/>
      <c r="K588" s="1025"/>
      <c r="L588" s="1025"/>
      <c r="M588" s="1025"/>
      <c r="N588" s="1025"/>
      <c r="O588" s="1025"/>
      <c r="P588" s="1025"/>
      <c r="Q588" s="1256"/>
      <c r="R588" s="321"/>
      <c r="S588" s="319" t="s">
        <v>73</v>
      </c>
    </row>
    <row r="589" spans="1:19" ht="11.25" hidden="1" customHeight="1" x14ac:dyDescent="0.35">
      <c r="A589" s="235"/>
      <c r="B589" s="445"/>
      <c r="C589" s="508" t="s">
        <v>5269</v>
      </c>
      <c r="D589" s="1123"/>
      <c r="E589" s="324" t="s">
        <v>5218</v>
      </c>
      <c r="F589" s="971"/>
      <c r="G589" s="1026">
        <f ca="1">IF(ISBLANK(OFFSET(G589,1,0)),OFFSET(G589,0,-1),OFFSET(G589,1,0))</f>
        <v>0</v>
      </c>
      <c r="H589" s="1026">
        <f ca="1">IF(ISBLANK(OFFSET(H589,1,0)),OFFSET(H589,0,-1)-H591,OFFSET(H589,1,0))</f>
        <v>0</v>
      </c>
      <c r="I589" s="1026">
        <f t="shared" ref="I589:Q589" ca="1" si="321">IF(ISBLANK(OFFSET(I589,1,0)),OFFSET(I589,0,-1)-I591,OFFSET(I589,1,0))</f>
        <v>0</v>
      </c>
      <c r="J589" s="1026">
        <f t="shared" ca="1" si="321"/>
        <v>0</v>
      </c>
      <c r="K589" s="1026">
        <f t="shared" ca="1" si="321"/>
        <v>0</v>
      </c>
      <c r="L589" s="1026">
        <f t="shared" ca="1" si="321"/>
        <v>0</v>
      </c>
      <c r="M589" s="1026">
        <f t="shared" ref="M589:N589" ca="1" si="322">IF(ISBLANK(OFFSET(M589,1,0)),OFFSET(M589,0,-1)-M591,OFFSET(M589,1,0))</f>
        <v>0</v>
      </c>
      <c r="N589" s="1026">
        <f t="shared" ca="1" si="322"/>
        <v>0</v>
      </c>
      <c r="O589" s="1026">
        <f t="shared" ref="O589:P589" ca="1" si="323">IF(ISBLANK(OFFSET(O589,1,0)),OFFSET(O589,0,-1)-O591,OFFSET(O589,1,0))</f>
        <v>0</v>
      </c>
      <c r="P589" s="1026">
        <f t="shared" ca="1" si="323"/>
        <v>0</v>
      </c>
      <c r="Q589" s="1256">
        <f t="shared" ca="1" si="321"/>
        <v>0</v>
      </c>
      <c r="R589" s="321"/>
      <c r="S589" s="319" t="s">
        <v>73</v>
      </c>
    </row>
    <row r="590" spans="1:19" ht="11.25" hidden="1" customHeight="1" x14ac:dyDescent="0.35">
      <c r="A590" s="235"/>
      <c r="B590" s="445"/>
      <c r="C590" s="434" t="s">
        <v>5396</v>
      </c>
      <c r="D590" s="1118"/>
      <c r="E590" s="324" t="s">
        <v>5375</v>
      </c>
      <c r="F590" s="1026"/>
      <c r="G590" s="1025"/>
      <c r="H590" s="1025"/>
      <c r="I590" s="1025"/>
      <c r="J590" s="1025"/>
      <c r="K590" s="1025"/>
      <c r="L590" s="1025"/>
      <c r="M590" s="1025"/>
      <c r="N590" s="1025"/>
      <c r="O590" s="1025"/>
      <c r="P590" s="1025"/>
      <c r="Q590" s="1271"/>
      <c r="R590" s="321"/>
      <c r="S590" s="319" t="s">
        <v>73</v>
      </c>
    </row>
    <row r="591" spans="1:19" ht="11.25" hidden="1" customHeight="1" x14ac:dyDescent="0.35">
      <c r="A591" s="235"/>
      <c r="B591" s="445"/>
      <c r="C591" s="506" t="s">
        <v>5426</v>
      </c>
      <c r="D591" s="1125"/>
      <c r="E591" s="385" t="s">
        <v>5217</v>
      </c>
      <c r="F591" s="961">
        <f ca="1">IF(InventoriesSpec,SUM(OFFSET(F589,0,-1))-F589,0)</f>
        <v>0</v>
      </c>
      <c r="G591" s="1058">
        <f ca="1">IF(NOT(ISBLANK(OFFSET(G589,1,0))),OFFSET(G589,0,-1)-G589,0)</f>
        <v>0</v>
      </c>
      <c r="H591" s="1058">
        <f t="shared" ref="H591:P591" ca="1" si="324">IF(NOT(ISBLANK(H$590)),OFFSET(H$589,0,-1)-H$589,IF(H$588&lt;&gt;0,(MIN(H$588,H$544*30)/(H$544*30))*(+H$460),0))</f>
        <v>0</v>
      </c>
      <c r="I591" s="1058">
        <f t="shared" ca="1" si="324"/>
        <v>0</v>
      </c>
      <c r="J591" s="1058">
        <f t="shared" ca="1" si="324"/>
        <v>0</v>
      </c>
      <c r="K591" s="1058">
        <f t="shared" ca="1" si="324"/>
        <v>0</v>
      </c>
      <c r="L591" s="1058">
        <f t="shared" ca="1" si="324"/>
        <v>0</v>
      </c>
      <c r="M591" s="1058">
        <f t="shared" ca="1" si="324"/>
        <v>0</v>
      </c>
      <c r="N591" s="1058">
        <f t="shared" ca="1" si="324"/>
        <v>0</v>
      </c>
      <c r="O591" s="1058">
        <f t="shared" ca="1" si="324"/>
        <v>0</v>
      </c>
      <c r="P591" s="1058">
        <f t="shared" ca="1" si="324"/>
        <v>0</v>
      </c>
      <c r="Q591" s="1258">
        <f ca="1">IF(AND(Q$5=-99,NoResCol=1),0,OFFSET(Q589,0,-1)-OFFSET(Q589,1,0))</f>
        <v>0</v>
      </c>
      <c r="R591" s="321"/>
      <c r="S591" s="319" t="s">
        <v>73</v>
      </c>
    </row>
    <row r="592" spans="1:19" ht="11.25" hidden="1" customHeight="1" x14ac:dyDescent="0.35">
      <c r="A592" s="235"/>
      <c r="B592" s="445">
        <v>5</v>
      </c>
      <c r="C592" s="434" t="s">
        <v>5397</v>
      </c>
      <c r="D592" s="1118"/>
      <c r="E592" s="324" t="s">
        <v>5264</v>
      </c>
      <c r="F592" s="1026">
        <f>IF((+F$460)&lt;&gt;0,(F593/ABS(+F$460))*(F$544*30),0)</f>
        <v>0</v>
      </c>
      <c r="G592" s="1025"/>
      <c r="H592" s="1025"/>
      <c r="I592" s="1025"/>
      <c r="J592" s="1025"/>
      <c r="K592" s="1025"/>
      <c r="L592" s="1025"/>
      <c r="M592" s="1025"/>
      <c r="N592" s="1025"/>
      <c r="O592" s="1025"/>
      <c r="P592" s="1025"/>
      <c r="Q592" s="1256"/>
      <c r="R592" s="321"/>
      <c r="S592" s="319" t="s">
        <v>73</v>
      </c>
    </row>
    <row r="593" spans="1:19" ht="11.25" hidden="1" customHeight="1" x14ac:dyDescent="0.35">
      <c r="A593" s="235"/>
      <c r="B593" s="445"/>
      <c r="C593" s="508" t="s">
        <v>5270</v>
      </c>
      <c r="D593" s="1123"/>
      <c r="E593" s="324" t="s">
        <v>5263</v>
      </c>
      <c r="F593" s="971"/>
      <c r="G593" s="1026">
        <f ca="1">IF(ISBLANK(OFFSET(G593,1,0)),OFFSET(G593,0,-1),OFFSET(G593,1,0))</f>
        <v>0</v>
      </c>
      <c r="H593" s="1026">
        <f ca="1">IF(ISBLANK(OFFSET(H593,1,0)),OFFSET(H593,0,-1)-H595,OFFSET(H593,1,0))</f>
        <v>0</v>
      </c>
      <c r="I593" s="1026">
        <f t="shared" ref="I593:Q593" ca="1" si="325">IF(ISBLANK(OFFSET(I593,1,0)),OFFSET(I593,0,-1)-I595,OFFSET(I593,1,0))</f>
        <v>0</v>
      </c>
      <c r="J593" s="1026">
        <f t="shared" ca="1" si="325"/>
        <v>0</v>
      </c>
      <c r="K593" s="1026">
        <f t="shared" ca="1" si="325"/>
        <v>0</v>
      </c>
      <c r="L593" s="1026">
        <f t="shared" ca="1" si="325"/>
        <v>0</v>
      </c>
      <c r="M593" s="1026">
        <f t="shared" ref="M593:N593" ca="1" si="326">IF(ISBLANK(OFFSET(M593,1,0)),OFFSET(M593,0,-1)-M595,OFFSET(M593,1,0))</f>
        <v>0</v>
      </c>
      <c r="N593" s="1026">
        <f t="shared" ca="1" si="326"/>
        <v>0</v>
      </c>
      <c r="O593" s="1026">
        <f t="shared" ref="O593:P593" ca="1" si="327">IF(ISBLANK(OFFSET(O593,1,0)),OFFSET(O593,0,-1)-O595,OFFSET(O593,1,0))</f>
        <v>0</v>
      </c>
      <c r="P593" s="1026">
        <f t="shared" ca="1" si="327"/>
        <v>0</v>
      </c>
      <c r="Q593" s="1256">
        <f t="shared" ca="1" si="325"/>
        <v>0</v>
      </c>
      <c r="R593" s="321"/>
      <c r="S593" s="319" t="s">
        <v>73</v>
      </c>
    </row>
    <row r="594" spans="1:19" ht="11.25" hidden="1" customHeight="1" x14ac:dyDescent="0.35">
      <c r="A594" s="235"/>
      <c r="B594" s="445"/>
      <c r="C594" s="434" t="s">
        <v>5396</v>
      </c>
      <c r="D594" s="1118"/>
      <c r="E594" s="324" t="s">
        <v>5376</v>
      </c>
      <c r="F594" s="1026"/>
      <c r="G594" s="1025"/>
      <c r="H594" s="1025"/>
      <c r="I594" s="1025"/>
      <c r="J594" s="1025"/>
      <c r="K594" s="1025"/>
      <c r="L594" s="1025"/>
      <c r="M594" s="1025"/>
      <c r="N594" s="1025"/>
      <c r="O594" s="1025"/>
      <c r="P594" s="1025"/>
      <c r="Q594" s="1271"/>
      <c r="R594" s="321"/>
      <c r="S594" s="319" t="s">
        <v>73</v>
      </c>
    </row>
    <row r="595" spans="1:19" ht="11.25" hidden="1" customHeight="1" x14ac:dyDescent="0.35">
      <c r="A595" s="235"/>
      <c r="B595" s="445"/>
      <c r="C595" s="506" t="s">
        <v>5426</v>
      </c>
      <c r="D595" s="1125"/>
      <c r="E595" s="385" t="s">
        <v>5262</v>
      </c>
      <c r="F595" s="961">
        <f ca="1">IF(InventoriesSpec,SUM(OFFSET(F593,0,-1))-F593,0)</f>
        <v>0</v>
      </c>
      <c r="G595" s="1058">
        <f ca="1">IF(NOT(ISBLANK(OFFSET(G593,1,0))),OFFSET(G593,0,-1)-G593,0)</f>
        <v>0</v>
      </c>
      <c r="H595" s="1058">
        <f t="shared" ref="H595:P595" ca="1" si="328">IF(NOT(ISBLANK(H$594)),OFFSET(H$593,0,-1)-H$593,IF(H$592&lt;&gt;0,(MIN(H$592,H$544*30)/(H$544*30))*(+H$460),0))</f>
        <v>0</v>
      </c>
      <c r="I595" s="1058">
        <f t="shared" ca="1" si="328"/>
        <v>0</v>
      </c>
      <c r="J595" s="1058">
        <f t="shared" ca="1" si="328"/>
        <v>0</v>
      </c>
      <c r="K595" s="1058">
        <f t="shared" ca="1" si="328"/>
        <v>0</v>
      </c>
      <c r="L595" s="1058">
        <f t="shared" ca="1" si="328"/>
        <v>0</v>
      </c>
      <c r="M595" s="1058">
        <f t="shared" ca="1" si="328"/>
        <v>0</v>
      </c>
      <c r="N595" s="1058">
        <f t="shared" ca="1" si="328"/>
        <v>0</v>
      </c>
      <c r="O595" s="1058">
        <f t="shared" ca="1" si="328"/>
        <v>0</v>
      </c>
      <c r="P595" s="1058">
        <f t="shared" ca="1" si="328"/>
        <v>0</v>
      </c>
      <c r="Q595" s="1258">
        <f ca="1">IF(AND(Q$5=-99,NoResCol=1),0,OFFSET(Q593,0,-1)-OFFSET(Q593,1,0))</f>
        <v>0</v>
      </c>
      <c r="R595" s="321"/>
      <c r="S595" s="319" t="s">
        <v>73</v>
      </c>
    </row>
    <row r="596" spans="1:19" ht="11.25" customHeight="1" x14ac:dyDescent="0.35">
      <c r="A596" s="235"/>
      <c r="B596" s="510"/>
      <c r="C596" s="511" t="s">
        <v>966</v>
      </c>
      <c r="D596" s="1144"/>
      <c r="E596" s="337" t="s">
        <v>967</v>
      </c>
      <c r="F596" s="958">
        <f ca="1">F579+IF(InventoriesSpec,F583+F587+F591+F595,0)</f>
        <v>0</v>
      </c>
      <c r="G596" s="1057">
        <f>IF(NoZeroCol=1,0,G579+IF(InventoriesSpec,G583+G587+G591+G595))</f>
        <v>0</v>
      </c>
      <c r="H596" s="1057">
        <f t="shared" ref="H596:P596" ca="1" si="329">H579+IF(InventoriesSpec,H583+H587+H591+H595)</f>
        <v>-661500</v>
      </c>
      <c r="I596" s="1057">
        <f t="shared" ca="1" si="329"/>
        <v>-342032.24631787033</v>
      </c>
      <c r="J596" s="1057">
        <f t="shared" ca="1" si="329"/>
        <v>-17115.794392870797</v>
      </c>
      <c r="K596" s="1057">
        <f t="shared" ca="1" si="329"/>
        <v>-17407.713679743523</v>
      </c>
      <c r="L596" s="1057">
        <f t="shared" ca="1" si="329"/>
        <v>-98625.495113332057</v>
      </c>
      <c r="M596" s="1057">
        <f t="shared" ca="1" si="329"/>
        <v>-255753.2811383584</v>
      </c>
      <c r="N596" s="1057">
        <f t="shared" ca="1" si="329"/>
        <v>-313297.7693944897</v>
      </c>
      <c r="O596" s="1057">
        <f t="shared" ca="1" si="329"/>
        <v>-383789.7675082495</v>
      </c>
      <c r="P596" s="1057">
        <f t="shared" ca="1" si="329"/>
        <v>-470142.46519760555</v>
      </c>
      <c r="Q596" s="1274">
        <f ca="1">IF(NoResCol=1,0,Q579+IF(InventoriesSpec,Q583+Q587+Q591+Q595))</f>
        <v>2559664.5327425199</v>
      </c>
      <c r="R596" s="321"/>
      <c r="S596" s="319" t="s">
        <v>71</v>
      </c>
    </row>
    <row r="597" spans="1:19" ht="11.25" customHeight="1" x14ac:dyDescent="0.35">
      <c r="A597" s="235"/>
      <c r="B597" s="441" t="s">
        <v>968</v>
      </c>
      <c r="C597" s="503"/>
      <c r="D597" s="1117"/>
      <c r="E597" s="380" t="s">
        <v>969</v>
      </c>
      <c r="F597" s="959"/>
      <c r="G597" s="1054">
        <f ca="1">-G624</f>
        <v>0</v>
      </c>
      <c r="H597" s="1054">
        <f t="shared" ref="H597:Q597" ca="1" si="330">OFFSET(H597,0,-1)-H624</f>
        <v>-485099.99999999994</v>
      </c>
      <c r="I597" s="1054">
        <f t="shared" ca="1" si="330"/>
        <v>-493373.64729977155</v>
      </c>
      <c r="J597" s="1054">
        <f t="shared" ca="1" si="330"/>
        <v>-501788.40620465769</v>
      </c>
      <c r="K597" s="1054">
        <f t="shared" ca="1" si="330"/>
        <v>-510346.68345069321</v>
      </c>
      <c r="L597" s="1054">
        <f t="shared" ca="1" si="330"/>
        <v>-625174.6872270992</v>
      </c>
      <c r="M597" s="1054">
        <f t="shared" ref="M597:N597" ca="1" si="331">OFFSET(M597,0,-1)-M624</f>
        <v>-765838.99185319629</v>
      </c>
      <c r="N597" s="1054">
        <f t="shared" ca="1" si="331"/>
        <v>-938152.76502016559</v>
      </c>
      <c r="O597" s="1054">
        <f t="shared" ref="O597:P597" ca="1" si="332">OFFSET(O597,0,-1)-O624</f>
        <v>-1149237.1371497028</v>
      </c>
      <c r="P597" s="1054">
        <f t="shared" ca="1" si="332"/>
        <v>-1407815.4930083861</v>
      </c>
      <c r="Q597" s="1270">
        <f t="shared" ca="1" si="330"/>
        <v>0</v>
      </c>
      <c r="R597" s="321"/>
      <c r="S597" s="319" t="s">
        <v>71</v>
      </c>
    </row>
    <row r="598" spans="1:19" ht="11.25" customHeight="1" x14ac:dyDescent="0.35">
      <c r="A598" s="235"/>
      <c r="B598" s="504" t="str">
        <f>IF(PayablesSpec,"1","")</f>
        <v/>
      </c>
      <c r="C598" s="434" t="s">
        <v>5395</v>
      </c>
      <c r="D598" s="1118"/>
      <c r="E598" s="324" t="s">
        <v>970</v>
      </c>
      <c r="F598" s="1026">
        <f>IF((-F$460-F$463)&lt;&gt;0,(F599/ABS(-F$460-F$463))*(F$544*30),0)</f>
        <v>0</v>
      </c>
      <c r="G598" s="1025"/>
      <c r="H598" s="1025">
        <v>22</v>
      </c>
      <c r="I598" s="1025">
        <f t="shared" ref="I598:P598" ca="1" si="333">OFFSET(I598,0,-1)*(1+((1+0/100)^(1/(12/I$12))-1))</f>
        <v>22</v>
      </c>
      <c r="J598" s="1025">
        <f t="shared" ca="1" si="333"/>
        <v>22</v>
      </c>
      <c r="K598" s="1025">
        <f t="shared" ca="1" si="333"/>
        <v>22</v>
      </c>
      <c r="L598" s="1025">
        <f t="shared" ca="1" si="333"/>
        <v>22</v>
      </c>
      <c r="M598" s="1025">
        <f t="shared" ca="1" si="333"/>
        <v>22</v>
      </c>
      <c r="N598" s="1025">
        <f t="shared" ca="1" si="333"/>
        <v>22</v>
      </c>
      <c r="O598" s="1025">
        <f t="shared" ca="1" si="333"/>
        <v>22</v>
      </c>
      <c r="P598" s="1025">
        <f t="shared" ca="1" si="333"/>
        <v>22</v>
      </c>
      <c r="Q598" s="1256"/>
      <c r="R598" s="321"/>
      <c r="S598" s="319" t="s">
        <v>71</v>
      </c>
    </row>
    <row r="599" spans="1:19" ht="11.25" customHeight="1" x14ac:dyDescent="0.35">
      <c r="A599" s="235"/>
      <c r="B599" s="445"/>
      <c r="C599" s="513" t="s">
        <v>971</v>
      </c>
      <c r="D599" s="1118"/>
      <c r="E599" s="324" t="s">
        <v>972</v>
      </c>
      <c r="F599" s="971">
        <f ca="1">OFFSET($G$821,0,F$5)</f>
        <v>0</v>
      </c>
      <c r="G599" s="1026">
        <f ca="1">IF(ISBLANK(OFFSET(G599,1,0)),OFFSET(G599,0,-1),OFFSET(G599,1,0))</f>
        <v>0</v>
      </c>
      <c r="H599" s="1026">
        <f ca="1">IF(ISBLANK(OFFSET(H599,1,0)),OFFSET(H599,0,-1)+H601,OFFSET(H599,1,0))</f>
        <v>485099.99999999994</v>
      </c>
      <c r="I599" s="1026">
        <f t="shared" ref="I599:Q599" ca="1" si="334">IF(ISBLANK(OFFSET(I599,1,0)),OFFSET(I599,0,-1)+I601,OFFSET(I599,1,0))</f>
        <v>493373.64729977155</v>
      </c>
      <c r="J599" s="1026">
        <f t="shared" ca="1" si="334"/>
        <v>501788.40620465769</v>
      </c>
      <c r="K599" s="1026">
        <f t="shared" ca="1" si="334"/>
        <v>510346.68345069321</v>
      </c>
      <c r="L599" s="1026">
        <f t="shared" ca="1" si="334"/>
        <v>625174.6872270992</v>
      </c>
      <c r="M599" s="1026">
        <f t="shared" ref="M599:N599" ca="1" si="335">IF(ISBLANK(OFFSET(M599,1,0)),OFFSET(M599,0,-1)+M601,OFFSET(M599,1,0))</f>
        <v>765838.99185319629</v>
      </c>
      <c r="N599" s="1026">
        <f t="shared" ca="1" si="335"/>
        <v>938152.76502016559</v>
      </c>
      <c r="O599" s="1026">
        <f t="shared" ref="O599:P599" ca="1" si="336">IF(ISBLANK(OFFSET(O599,1,0)),OFFSET(O599,0,-1)+O601,OFFSET(O599,1,0))</f>
        <v>1149237.1371497028</v>
      </c>
      <c r="P599" s="1026">
        <f t="shared" ca="1" si="336"/>
        <v>1407815.4930083861</v>
      </c>
      <c r="Q599" s="1256">
        <f t="shared" ca="1" si="334"/>
        <v>0</v>
      </c>
      <c r="R599" s="321"/>
      <c r="S599" s="319" t="s">
        <v>71</v>
      </c>
    </row>
    <row r="600" spans="1:19" ht="11.25" customHeight="1" x14ac:dyDescent="0.35">
      <c r="A600" s="235"/>
      <c r="B600" s="445"/>
      <c r="C600" s="434" t="s">
        <v>5396</v>
      </c>
      <c r="D600" s="1118"/>
      <c r="E600" s="324" t="s">
        <v>973</v>
      </c>
      <c r="F600" s="1217"/>
      <c r="G600" s="1025"/>
      <c r="H600" s="1025"/>
      <c r="I600" s="1025"/>
      <c r="J600" s="1025"/>
      <c r="K600" s="1025"/>
      <c r="L600" s="1025"/>
      <c r="M600" s="1025"/>
      <c r="N600" s="1025"/>
      <c r="O600" s="1025"/>
      <c r="P600" s="1025"/>
      <c r="Q600" s="1271"/>
      <c r="R600" s="321"/>
      <c r="S600" s="319" t="s">
        <v>71</v>
      </c>
    </row>
    <row r="601" spans="1:19" ht="11.25" customHeight="1" x14ac:dyDescent="0.35">
      <c r="A601" s="235"/>
      <c r="B601" s="445"/>
      <c r="C601" s="434" t="s">
        <v>5464</v>
      </c>
      <c r="D601" s="1118"/>
      <c r="E601" s="324" t="s">
        <v>974</v>
      </c>
      <c r="F601" s="961">
        <f ca="1">F599-SUM(OFFSET(F599,0,-1))</f>
        <v>0</v>
      </c>
      <c r="G601" s="1058">
        <f ca="1">IF(NOT(ISBLANK(OFFSET(G599,1,0))),-OFFSET(G599,0,-1)+G599,0)</f>
        <v>0</v>
      </c>
      <c r="H601" s="1026">
        <f t="shared" ref="H601" ca="1" si="337">IF(NOT(ISBLANK(H$600)),-OFFSET(H$599,0,-1)+H$599,IF(H$598&lt;&gt;0,(MIN(H$598,H$544*30)/(H$544*30))*(-H$460-H$463),0))</f>
        <v>485099.99999999994</v>
      </c>
      <c r="I601" s="1026">
        <f ca="1">IF(NOT(ISBLANK(I$600)),-OFFSET(I$599,0,-1)+I$599,IF(I$598&lt;&gt;0,(MIN(I$598,I$544*30)/(I$544*30))*(-I$460-I$463),0)+(22/($H$598))*IF(NOT(ISBLANK($H$600)),-$H$599,(MIN($H$598,$H$544*30)/($H$544*30))*-(-$H$460-$H$463)))</f>
        <v>8273.6472997716046</v>
      </c>
      <c r="J601" s="1026">
        <f ca="1">IF(NOT(ISBLANK(J$600)),-OFFSET(J$599,0,-1)+J$599,IF(J$598&lt;&gt;0,(MIN(J$598,J$544*30)/(J$544*30))*(-J$460-J$463),0)+(22/($I$598))*IF(NOT(ISBLANK($I$600)),-$I$599,(MIN($I$598,$I$544*30)/($I$544*30))*-(-$I$460-$I$463)))</f>
        <v>8414.758904886141</v>
      </c>
      <c r="K601" s="1026">
        <f ca="1">IF(NOT(ISBLANK(K$600)),-OFFSET(K$599,0,-1)+K$599,IF(K$598&lt;&gt;0,(MIN(K$598,K$544*30)/(K$544*30))*(-K$460-K$463),0)+(22/($J$598))*IF(NOT(ISBLANK($J$600)),-$J$599,(MIN($J$598,$J$544*30)/($J$544*30))*-(-$J$460-$J$463)))</f>
        <v>8558.2772460355191</v>
      </c>
      <c r="L601" s="1026">
        <f ca="1">IF(NOT(ISBLANK(L$600)),-OFFSET(L$599,0,-1)+L$599,IF(L$598&lt;&gt;0,(MIN(L$598,L$544*30)/(L$544*30))*(-L$460-L$463),0)+(22/($K$598))*IF(NOT(ISBLANK($K$600)),-$K$599,(MIN($K$598,$K$544*30)/($K$544*30))*-(-$K$460-$K$463)))</f>
        <v>114828.003776406</v>
      </c>
      <c r="M601" s="1026">
        <f ca="1">IF(NOT(ISBLANK(M$600)),-OFFSET(M$599,0,-1)+M$599,IF(M$598&lt;&gt;0,(MIN(M$598,M$544*30)/(M$544*30))*(-M$460-M$463),0)+(22/($L$598))*IF(NOT(ISBLANK($L$600)),-$L$599,(MIN($L$598,$L$544*30)/($L$544*30))*-(-$L$460-$L$463)))</f>
        <v>140664.30462609709</v>
      </c>
      <c r="N601" s="1026">
        <f ca="1">IF(NOT(ISBLANK(N$600)),-OFFSET(N$599,0,-1)+N$599,IF(N$598&lt;&gt;0,(MIN(N$598,N$544*30)/(N$544*30))*(-N$460-N$463),0)+(22/($M$598))*IF(NOT(ISBLANK($M$600)),-$M$599,(MIN($M$598,$M$544*30)/($M$544*30))*-(-$M$460-$M$463)))</f>
        <v>172313.7731669693</v>
      </c>
      <c r="O601" s="1026">
        <f ca="1">IF(NOT(ISBLANK(O$600)),-OFFSET(O$599,0,-1)+O$599,IF(O$598&lt;&gt;0,(MIN(O$598,O$544*30)/(O$544*30))*(-O$460-O$463),0)+(22/($N$598))*IF(NOT(ISBLANK($N$600)),-$N$599,(MIN($N$598,$N$544*30)/($N$544*30))*-(-$N$460-$N$463)))</f>
        <v>211084.37212953717</v>
      </c>
      <c r="P601" s="1026">
        <f ca="1">IF(NOT(ISBLANK(P$600)),-OFFSET(P$599,0,-1)+P$599,IF(P$598&lt;&gt;0,(MIN(P$598,P$544*30)/(P$544*30))*(-P$460-P$463),0)+(22/($O$598))*IF(NOT(ISBLANK($O$600)),-$O$599,(MIN($O$598,$O$544*30)/($O$544*30))*-(-$O$460-$O$463)))</f>
        <v>258578.35585868335</v>
      </c>
      <c r="Q601" s="1256">
        <f ca="1">IF(AND(Q$5=-99,NoResCol=1),0,OFFSET(Q599,1,0)-OFFSET(Q599,0,-1))</f>
        <v>-1407815.4930083861</v>
      </c>
      <c r="R601" s="321"/>
      <c r="S601" s="319" t="s">
        <v>71</v>
      </c>
    </row>
    <row r="602" spans="1:19" ht="11.25" hidden="1" customHeight="1" x14ac:dyDescent="0.35">
      <c r="A602" s="235"/>
      <c r="B602" s="445">
        <v>2</v>
      </c>
      <c r="C602" s="507" t="s">
        <v>5395</v>
      </c>
      <c r="D602" s="1117"/>
      <c r="E602" s="509" t="s">
        <v>5289</v>
      </c>
      <c r="F602" s="1026">
        <f>IF((-F$460-F$463)&lt;&gt;0,(F603/ABS(-F$460-F$463))*(F$544*30),0)</f>
        <v>0</v>
      </c>
      <c r="G602" s="1056"/>
      <c r="H602" s="1056"/>
      <c r="I602" s="1056"/>
      <c r="J602" s="1056"/>
      <c r="K602" s="1056"/>
      <c r="L602" s="1056"/>
      <c r="M602" s="1056"/>
      <c r="N602" s="1056"/>
      <c r="O602" s="1056"/>
      <c r="P602" s="1056"/>
      <c r="Q602" s="1262"/>
      <c r="R602" s="321"/>
      <c r="S602" s="319" t="s">
        <v>73</v>
      </c>
    </row>
    <row r="603" spans="1:19" ht="11.25" hidden="1" customHeight="1" x14ac:dyDescent="0.35">
      <c r="A603" s="235"/>
      <c r="B603" s="445"/>
      <c r="C603" s="514" t="s">
        <v>5327</v>
      </c>
      <c r="D603" s="1118"/>
      <c r="E603" s="324" t="s">
        <v>5290</v>
      </c>
      <c r="F603" s="971"/>
      <c r="G603" s="1026">
        <f ca="1">IF(ISBLANK(OFFSET(G603,1,0)),OFFSET(G603,0,-1),OFFSET(G603,1,0))</f>
        <v>0</v>
      </c>
      <c r="H603" s="1026">
        <f ca="1">IF(ISBLANK(OFFSET(H603,1,0)),OFFSET(H603,0,-1)+H605,OFFSET(H603,1,0))</f>
        <v>0</v>
      </c>
      <c r="I603" s="1026">
        <f t="shared" ref="I603:Q603" ca="1" si="338">IF(ISBLANK(OFFSET(I603,1,0)),OFFSET(I603,0,-1)+I605,OFFSET(I603,1,0))</f>
        <v>0</v>
      </c>
      <c r="J603" s="1026">
        <f t="shared" ca="1" si="338"/>
        <v>0</v>
      </c>
      <c r="K603" s="1026">
        <f t="shared" ca="1" si="338"/>
        <v>0</v>
      </c>
      <c r="L603" s="1026">
        <f t="shared" ca="1" si="338"/>
        <v>0</v>
      </c>
      <c r="M603" s="1026">
        <f t="shared" ref="M603:N603" ca="1" si="339">IF(ISBLANK(OFFSET(M603,1,0)),OFFSET(M603,0,-1)+M605,OFFSET(M603,1,0))</f>
        <v>0</v>
      </c>
      <c r="N603" s="1026">
        <f t="shared" ca="1" si="339"/>
        <v>0</v>
      </c>
      <c r="O603" s="1026">
        <f t="shared" ref="O603:P603" ca="1" si="340">IF(ISBLANK(OFFSET(O603,1,0)),OFFSET(O603,0,-1)+O605,OFFSET(O603,1,0))</f>
        <v>0</v>
      </c>
      <c r="P603" s="1026">
        <f t="shared" ca="1" si="340"/>
        <v>0</v>
      </c>
      <c r="Q603" s="1256">
        <f t="shared" ca="1" si="338"/>
        <v>0</v>
      </c>
      <c r="R603" s="321"/>
      <c r="S603" s="319" t="s">
        <v>73</v>
      </c>
    </row>
    <row r="604" spans="1:19" ht="11.25" hidden="1" customHeight="1" x14ac:dyDescent="0.35">
      <c r="A604" s="235"/>
      <c r="B604" s="445"/>
      <c r="C604" s="434" t="s">
        <v>5396</v>
      </c>
      <c r="D604" s="1118"/>
      <c r="E604" s="324" t="s">
        <v>5297</v>
      </c>
      <c r="F604" s="971"/>
      <c r="G604" s="1025"/>
      <c r="H604" s="1025"/>
      <c r="I604" s="1025"/>
      <c r="J604" s="1025"/>
      <c r="K604" s="1025"/>
      <c r="L604" s="1025"/>
      <c r="M604" s="1025"/>
      <c r="N604" s="1025"/>
      <c r="O604" s="1025"/>
      <c r="P604" s="1025"/>
      <c r="Q604" s="1271"/>
      <c r="R604" s="321"/>
      <c r="S604" s="319" t="s">
        <v>73</v>
      </c>
    </row>
    <row r="605" spans="1:19" ht="11.25" hidden="1" customHeight="1" x14ac:dyDescent="0.35">
      <c r="A605" s="235"/>
      <c r="B605" s="445"/>
      <c r="C605" s="434" t="s">
        <v>5464</v>
      </c>
      <c r="D605" s="1118"/>
      <c r="E605" s="324" t="s">
        <v>5301</v>
      </c>
      <c r="F605" s="961">
        <f ca="1">F603-SUM(OFFSET(F603,0,-1))</f>
        <v>0</v>
      </c>
      <c r="G605" s="1058">
        <f ca="1">IF(NOT(ISBLANK(OFFSET(G603,1,0))),-OFFSET(G603,0,-1)+G603,0)</f>
        <v>0</v>
      </c>
      <c r="H605" s="1026">
        <f t="shared" ref="H605:P605" ca="1" si="341">IF(NOT(ISBLANK(H$604)),-OFFSET(H$603,0,-1)+H$603,IF(H$602&lt;&gt;0,(MIN(H$602,H$544*30)/(H$544*30))*(-H$460-H$463),0))</f>
        <v>0</v>
      </c>
      <c r="I605" s="1026">
        <f t="shared" ca="1" si="341"/>
        <v>0</v>
      </c>
      <c r="J605" s="1026">
        <f t="shared" ca="1" si="341"/>
        <v>0</v>
      </c>
      <c r="K605" s="1026">
        <f t="shared" ca="1" si="341"/>
        <v>0</v>
      </c>
      <c r="L605" s="1026">
        <f t="shared" ca="1" si="341"/>
        <v>0</v>
      </c>
      <c r="M605" s="1026">
        <f t="shared" ca="1" si="341"/>
        <v>0</v>
      </c>
      <c r="N605" s="1026">
        <f t="shared" ca="1" si="341"/>
        <v>0</v>
      </c>
      <c r="O605" s="1026">
        <f t="shared" ca="1" si="341"/>
        <v>0</v>
      </c>
      <c r="P605" s="1026">
        <f t="shared" ca="1" si="341"/>
        <v>0</v>
      </c>
      <c r="Q605" s="1256">
        <f ca="1">IF(AND(Q$5=-99,NoResCol=1),0,OFFSET(Q603,1,0)-OFFSET(Q603,0,-1))</f>
        <v>0</v>
      </c>
      <c r="R605" s="321"/>
      <c r="S605" s="319" t="s">
        <v>73</v>
      </c>
    </row>
    <row r="606" spans="1:19" ht="11.25" hidden="1" customHeight="1" x14ac:dyDescent="0.35">
      <c r="A606" s="235"/>
      <c r="B606" s="445">
        <v>3</v>
      </c>
      <c r="C606" s="507" t="s">
        <v>5395</v>
      </c>
      <c r="D606" s="1117"/>
      <c r="E606" s="509" t="s">
        <v>5291</v>
      </c>
      <c r="F606" s="1026">
        <f>IF((-F$460-F$463)&lt;&gt;0,(F607/ABS(-F$460-F$463))*(F$544*30),0)</f>
        <v>0</v>
      </c>
      <c r="G606" s="1056"/>
      <c r="H606" s="1056"/>
      <c r="I606" s="1056"/>
      <c r="J606" s="1056"/>
      <c r="K606" s="1056"/>
      <c r="L606" s="1056"/>
      <c r="M606" s="1056"/>
      <c r="N606" s="1056"/>
      <c r="O606" s="1056"/>
      <c r="P606" s="1056"/>
      <c r="Q606" s="1262"/>
      <c r="R606" s="321"/>
      <c r="S606" s="319" t="s">
        <v>73</v>
      </c>
    </row>
    <row r="607" spans="1:19" ht="11.25" hidden="1" customHeight="1" x14ac:dyDescent="0.35">
      <c r="A607" s="235"/>
      <c r="B607" s="445"/>
      <c r="C607" s="514" t="s">
        <v>5328</v>
      </c>
      <c r="D607" s="1118"/>
      <c r="E607" s="324" t="s">
        <v>5292</v>
      </c>
      <c r="F607" s="971"/>
      <c r="G607" s="1026">
        <f ca="1">IF(ISBLANK(OFFSET(G607,1,0)),OFFSET(G607,0,-1),OFFSET(G607,1,0))</f>
        <v>0</v>
      </c>
      <c r="H607" s="1026">
        <f ca="1">IF(ISBLANK(OFFSET(H607,1,0)),OFFSET(H607,0,-1)+H609,OFFSET(H607,1,0))</f>
        <v>0</v>
      </c>
      <c r="I607" s="1026">
        <f t="shared" ref="I607:Q607" ca="1" si="342">IF(ISBLANK(OFFSET(I607,1,0)),OFFSET(I607,0,-1)+I609,OFFSET(I607,1,0))</f>
        <v>0</v>
      </c>
      <c r="J607" s="1026">
        <f t="shared" ca="1" si="342"/>
        <v>0</v>
      </c>
      <c r="K607" s="1026">
        <f t="shared" ca="1" si="342"/>
        <v>0</v>
      </c>
      <c r="L607" s="1026">
        <f t="shared" ca="1" si="342"/>
        <v>0</v>
      </c>
      <c r="M607" s="1026">
        <f t="shared" ref="M607:N607" ca="1" si="343">IF(ISBLANK(OFFSET(M607,1,0)),OFFSET(M607,0,-1)+M609,OFFSET(M607,1,0))</f>
        <v>0</v>
      </c>
      <c r="N607" s="1026">
        <f t="shared" ca="1" si="343"/>
        <v>0</v>
      </c>
      <c r="O607" s="1026">
        <f t="shared" ref="O607:P607" ca="1" si="344">IF(ISBLANK(OFFSET(O607,1,0)),OFFSET(O607,0,-1)+O609,OFFSET(O607,1,0))</f>
        <v>0</v>
      </c>
      <c r="P607" s="1026">
        <f t="shared" ca="1" si="344"/>
        <v>0</v>
      </c>
      <c r="Q607" s="1256">
        <f t="shared" ca="1" si="342"/>
        <v>0</v>
      </c>
      <c r="R607" s="321"/>
      <c r="S607" s="319" t="s">
        <v>73</v>
      </c>
    </row>
    <row r="608" spans="1:19" ht="11.25" hidden="1" customHeight="1" x14ac:dyDescent="0.35">
      <c r="A608" s="235"/>
      <c r="B608" s="445"/>
      <c r="C608" s="434" t="s">
        <v>5396</v>
      </c>
      <c r="D608" s="1118"/>
      <c r="E608" s="324" t="s">
        <v>5298</v>
      </c>
      <c r="F608" s="971"/>
      <c r="G608" s="1025"/>
      <c r="H608" s="1025"/>
      <c r="I608" s="1025"/>
      <c r="J608" s="1025"/>
      <c r="K608" s="1025"/>
      <c r="L608" s="1025"/>
      <c r="M608" s="1025"/>
      <c r="N608" s="1025"/>
      <c r="O608" s="1025"/>
      <c r="P608" s="1025"/>
      <c r="Q608" s="1271"/>
      <c r="R608" s="321"/>
      <c r="S608" s="319" t="s">
        <v>73</v>
      </c>
    </row>
    <row r="609" spans="1:19" ht="11.25" hidden="1" customHeight="1" x14ac:dyDescent="0.35">
      <c r="A609" s="235"/>
      <c r="B609" s="445"/>
      <c r="C609" s="434" t="s">
        <v>5464</v>
      </c>
      <c r="D609" s="1118"/>
      <c r="E609" s="324" t="s">
        <v>5302</v>
      </c>
      <c r="F609" s="961">
        <f ca="1">F607-SUM(OFFSET(F607,0,-1))</f>
        <v>0</v>
      </c>
      <c r="G609" s="1058">
        <f ca="1">IF(NOT(ISBLANK(OFFSET(G607,1,0))),-OFFSET(G607,0,-1)+G607,0)</f>
        <v>0</v>
      </c>
      <c r="H609" s="1026">
        <f t="shared" ref="H609:P609" ca="1" si="345">IF(NOT(ISBLANK(H$608)),-OFFSET(H$607,0,-1)+H$607,IF(H$606&lt;&gt;0,(MIN(H$606,H$544*30)/(H$544*30))*(-H$460-H$463),0))</f>
        <v>0</v>
      </c>
      <c r="I609" s="1026">
        <f t="shared" ca="1" si="345"/>
        <v>0</v>
      </c>
      <c r="J609" s="1026">
        <f t="shared" ca="1" si="345"/>
        <v>0</v>
      </c>
      <c r="K609" s="1026">
        <f t="shared" ca="1" si="345"/>
        <v>0</v>
      </c>
      <c r="L609" s="1026">
        <f t="shared" ca="1" si="345"/>
        <v>0</v>
      </c>
      <c r="M609" s="1026">
        <f t="shared" ca="1" si="345"/>
        <v>0</v>
      </c>
      <c r="N609" s="1026">
        <f t="shared" ca="1" si="345"/>
        <v>0</v>
      </c>
      <c r="O609" s="1026">
        <f t="shared" ca="1" si="345"/>
        <v>0</v>
      </c>
      <c r="P609" s="1026">
        <f t="shared" ca="1" si="345"/>
        <v>0</v>
      </c>
      <c r="Q609" s="1256">
        <f ca="1">IF(AND(Q$5=-99,NoResCol=1),0,OFFSET(Q607,1,0)-OFFSET(Q607,0,-1))</f>
        <v>0</v>
      </c>
      <c r="R609" s="321"/>
      <c r="S609" s="319" t="s">
        <v>73</v>
      </c>
    </row>
    <row r="610" spans="1:19" ht="11.25" hidden="1" customHeight="1" x14ac:dyDescent="0.35">
      <c r="A610" s="235"/>
      <c r="B610" s="445">
        <v>4</v>
      </c>
      <c r="C610" s="507" t="s">
        <v>5395</v>
      </c>
      <c r="D610" s="1117"/>
      <c r="E610" s="509" t="s">
        <v>5293</v>
      </c>
      <c r="F610" s="1026">
        <f>IF((-F$460-F$463)&lt;&gt;0,(F611/ABS(-F$460-F$463))*(F$544*30),0)</f>
        <v>0</v>
      </c>
      <c r="G610" s="1056"/>
      <c r="H610" s="1056"/>
      <c r="I610" s="1056"/>
      <c r="J610" s="1056"/>
      <c r="K610" s="1056"/>
      <c r="L610" s="1056"/>
      <c r="M610" s="1056"/>
      <c r="N610" s="1056"/>
      <c r="O610" s="1056"/>
      <c r="P610" s="1056"/>
      <c r="Q610" s="1262"/>
      <c r="R610" s="321"/>
      <c r="S610" s="319" t="s">
        <v>73</v>
      </c>
    </row>
    <row r="611" spans="1:19" ht="11.25" hidden="1" customHeight="1" x14ac:dyDescent="0.35">
      <c r="A611" s="235"/>
      <c r="B611" s="445"/>
      <c r="C611" s="514" t="s">
        <v>5329</v>
      </c>
      <c r="D611" s="1118"/>
      <c r="E611" s="324" t="s">
        <v>5294</v>
      </c>
      <c r="F611" s="971"/>
      <c r="G611" s="1026">
        <f ca="1">IF(ISBLANK(OFFSET(G611,1,0)),OFFSET(G611,0,-1),OFFSET(G611,1,0))</f>
        <v>0</v>
      </c>
      <c r="H611" s="1026">
        <f ca="1">IF(ISBLANK(OFFSET(H611,1,0)),OFFSET(H611,0,-1)+H613,OFFSET(H611,1,0))</f>
        <v>0</v>
      </c>
      <c r="I611" s="1026">
        <f t="shared" ref="I611:Q611" ca="1" si="346">IF(ISBLANK(OFFSET(I611,1,0)),OFFSET(I611,0,-1)+I613,OFFSET(I611,1,0))</f>
        <v>0</v>
      </c>
      <c r="J611" s="1026">
        <f t="shared" ca="1" si="346"/>
        <v>0</v>
      </c>
      <c r="K611" s="1026">
        <f t="shared" ca="1" si="346"/>
        <v>0</v>
      </c>
      <c r="L611" s="1026">
        <f t="shared" ca="1" si="346"/>
        <v>0</v>
      </c>
      <c r="M611" s="1026">
        <f t="shared" ref="M611:N611" ca="1" si="347">IF(ISBLANK(OFFSET(M611,1,0)),OFFSET(M611,0,-1)+M613,OFFSET(M611,1,0))</f>
        <v>0</v>
      </c>
      <c r="N611" s="1026">
        <f t="shared" ca="1" si="347"/>
        <v>0</v>
      </c>
      <c r="O611" s="1026">
        <f t="shared" ref="O611:P611" ca="1" si="348">IF(ISBLANK(OFFSET(O611,1,0)),OFFSET(O611,0,-1)+O613,OFFSET(O611,1,0))</f>
        <v>0</v>
      </c>
      <c r="P611" s="1026">
        <f t="shared" ca="1" si="348"/>
        <v>0</v>
      </c>
      <c r="Q611" s="1256">
        <f t="shared" ca="1" si="346"/>
        <v>0</v>
      </c>
      <c r="R611" s="321"/>
      <c r="S611" s="319" t="s">
        <v>73</v>
      </c>
    </row>
    <row r="612" spans="1:19" ht="11.25" hidden="1" customHeight="1" x14ac:dyDescent="0.35">
      <c r="A612" s="235"/>
      <c r="B612" s="445"/>
      <c r="C612" s="434" t="s">
        <v>5396</v>
      </c>
      <c r="D612" s="1118"/>
      <c r="E612" s="324" t="s">
        <v>5299</v>
      </c>
      <c r="F612" s="971"/>
      <c r="G612" s="1025"/>
      <c r="H612" s="1025"/>
      <c r="I612" s="1025"/>
      <c r="J612" s="1025"/>
      <c r="K612" s="1025"/>
      <c r="L612" s="1025"/>
      <c r="M612" s="1025"/>
      <c r="N612" s="1025"/>
      <c r="O612" s="1025"/>
      <c r="P612" s="1025"/>
      <c r="Q612" s="1271"/>
      <c r="R612" s="321"/>
      <c r="S612" s="319" t="s">
        <v>73</v>
      </c>
    </row>
    <row r="613" spans="1:19" ht="11.25" hidden="1" customHeight="1" x14ac:dyDescent="0.35">
      <c r="A613" s="235"/>
      <c r="B613" s="445"/>
      <c r="C613" s="434" t="s">
        <v>5464</v>
      </c>
      <c r="D613" s="1118"/>
      <c r="E613" s="324" t="s">
        <v>5303</v>
      </c>
      <c r="F613" s="961">
        <f ca="1">F611-SUM(OFFSET(F611,0,-1))</f>
        <v>0</v>
      </c>
      <c r="G613" s="1058">
        <f ca="1">IF(NOT(ISBLANK(OFFSET(G611,1,0))),-OFFSET(G611,0,-1)+G611,0)</f>
        <v>0</v>
      </c>
      <c r="H613" s="1026">
        <f t="shared" ref="H613:P613" ca="1" si="349">IF(NOT(ISBLANK(H$612)),-OFFSET(H$611,0,-1)+H$611,IF(H$610&lt;&gt;0,(MIN(H$610,H$544*30)/(H$544*30))*(-H$460-H$463),0))</f>
        <v>0</v>
      </c>
      <c r="I613" s="1026">
        <f t="shared" ca="1" si="349"/>
        <v>0</v>
      </c>
      <c r="J613" s="1026">
        <f t="shared" ca="1" si="349"/>
        <v>0</v>
      </c>
      <c r="K613" s="1026">
        <f t="shared" ca="1" si="349"/>
        <v>0</v>
      </c>
      <c r="L613" s="1026">
        <f t="shared" ca="1" si="349"/>
        <v>0</v>
      </c>
      <c r="M613" s="1026">
        <f t="shared" ca="1" si="349"/>
        <v>0</v>
      </c>
      <c r="N613" s="1026">
        <f t="shared" ca="1" si="349"/>
        <v>0</v>
      </c>
      <c r="O613" s="1026">
        <f t="shared" ca="1" si="349"/>
        <v>0</v>
      </c>
      <c r="P613" s="1026">
        <f t="shared" ca="1" si="349"/>
        <v>0</v>
      </c>
      <c r="Q613" s="1256">
        <f ca="1">IF(AND(Q$5=-99,NoResCol=1),0,OFFSET(Q611,1,0)-OFFSET(Q611,0,-1))</f>
        <v>0</v>
      </c>
      <c r="R613" s="321"/>
      <c r="S613" s="319" t="s">
        <v>73</v>
      </c>
    </row>
    <row r="614" spans="1:19" ht="11.25" hidden="1" customHeight="1" x14ac:dyDescent="0.35">
      <c r="A614" s="235"/>
      <c r="B614" s="445">
        <v>5</v>
      </c>
      <c r="C614" s="507" t="s">
        <v>5395</v>
      </c>
      <c r="D614" s="1117"/>
      <c r="E614" s="509" t="s">
        <v>5295</v>
      </c>
      <c r="F614" s="1026">
        <f>IF((-F$460-F$463)&lt;&gt;0,(F615/ABS(-F$460-F$463))*(F$544*30),0)</f>
        <v>0</v>
      </c>
      <c r="G614" s="1056"/>
      <c r="H614" s="1056"/>
      <c r="I614" s="1056"/>
      <c r="J614" s="1056"/>
      <c r="K614" s="1056"/>
      <c r="L614" s="1056"/>
      <c r="M614" s="1056"/>
      <c r="N614" s="1056"/>
      <c r="O614" s="1056"/>
      <c r="P614" s="1056"/>
      <c r="Q614" s="1262"/>
      <c r="R614" s="321"/>
      <c r="S614" s="319" t="s">
        <v>73</v>
      </c>
    </row>
    <row r="615" spans="1:19" ht="11.25" hidden="1" customHeight="1" x14ac:dyDescent="0.35">
      <c r="A615" s="235"/>
      <c r="B615" s="445"/>
      <c r="C615" s="514" t="s">
        <v>5330</v>
      </c>
      <c r="D615" s="1118"/>
      <c r="E615" s="324" t="s">
        <v>5296</v>
      </c>
      <c r="F615" s="971"/>
      <c r="G615" s="1026">
        <f ca="1">IF(ISBLANK(OFFSET(G615,1,0)),OFFSET(G615,0,-1),OFFSET(G615,1,0))</f>
        <v>0</v>
      </c>
      <c r="H615" s="1026">
        <f ca="1">IF(ISBLANK(OFFSET(H615,1,0)),OFFSET(H615,0,-1)+H617,OFFSET(H615,1,0))</f>
        <v>0</v>
      </c>
      <c r="I615" s="1026">
        <f t="shared" ref="I615:Q615" ca="1" si="350">IF(ISBLANK(OFFSET(I615,1,0)),OFFSET(I615,0,-1)+I617,OFFSET(I615,1,0))</f>
        <v>0</v>
      </c>
      <c r="J615" s="1026">
        <f t="shared" ca="1" si="350"/>
        <v>0</v>
      </c>
      <c r="K615" s="1026">
        <f t="shared" ca="1" si="350"/>
        <v>0</v>
      </c>
      <c r="L615" s="1026">
        <f t="shared" ca="1" si="350"/>
        <v>0</v>
      </c>
      <c r="M615" s="1026">
        <f t="shared" ref="M615:N615" ca="1" si="351">IF(ISBLANK(OFFSET(M615,1,0)),OFFSET(M615,0,-1)+M617,OFFSET(M615,1,0))</f>
        <v>0</v>
      </c>
      <c r="N615" s="1026">
        <f t="shared" ca="1" si="351"/>
        <v>0</v>
      </c>
      <c r="O615" s="1026">
        <f t="shared" ref="O615:P615" ca="1" si="352">IF(ISBLANK(OFFSET(O615,1,0)),OFFSET(O615,0,-1)+O617,OFFSET(O615,1,0))</f>
        <v>0</v>
      </c>
      <c r="P615" s="1026">
        <f t="shared" ca="1" si="352"/>
        <v>0</v>
      </c>
      <c r="Q615" s="1256">
        <f t="shared" ca="1" si="350"/>
        <v>0</v>
      </c>
      <c r="R615" s="321"/>
      <c r="S615" s="319" t="s">
        <v>73</v>
      </c>
    </row>
    <row r="616" spans="1:19" ht="11.25" hidden="1" customHeight="1" x14ac:dyDescent="0.35">
      <c r="A616" s="235"/>
      <c r="B616" s="445"/>
      <c r="C616" s="434" t="s">
        <v>5396</v>
      </c>
      <c r="D616" s="1118"/>
      <c r="E616" s="324" t="s">
        <v>5300</v>
      </c>
      <c r="F616" s="971"/>
      <c r="G616" s="1025"/>
      <c r="H616" s="1025"/>
      <c r="I616" s="1025"/>
      <c r="J616" s="1025"/>
      <c r="K616" s="1025"/>
      <c r="L616" s="1025"/>
      <c r="M616" s="1025"/>
      <c r="N616" s="1025"/>
      <c r="O616" s="1025"/>
      <c r="P616" s="1025"/>
      <c r="Q616" s="1271"/>
      <c r="R616" s="321"/>
      <c r="S616" s="319" t="s">
        <v>73</v>
      </c>
    </row>
    <row r="617" spans="1:19" ht="11.25" hidden="1" customHeight="1" x14ac:dyDescent="0.35">
      <c r="A617" s="235"/>
      <c r="B617" s="445"/>
      <c r="C617" s="434" t="s">
        <v>5464</v>
      </c>
      <c r="D617" s="1118"/>
      <c r="E617" s="324" t="s">
        <v>5304</v>
      </c>
      <c r="F617" s="971">
        <f ca="1">F615-SUM(OFFSET(F615,0,-1))</f>
        <v>0</v>
      </c>
      <c r="G617" s="1026">
        <f ca="1">IF(NOT(ISBLANK(OFFSET(G615,1,0))),-OFFSET(G615,0,-1)+G615,0)</f>
        <v>0</v>
      </c>
      <c r="H617" s="1026">
        <f t="shared" ref="H617:P617" ca="1" si="353">IF(NOT(ISBLANK(H$616)),-OFFSET(H$615,0,-1)+H$615,IF(H$614&lt;&gt;0,(MIN(H$614,H$544*30)/(H$544*30))*(-H$460-H$463),0))</f>
        <v>0</v>
      </c>
      <c r="I617" s="1026">
        <f t="shared" ca="1" si="353"/>
        <v>0</v>
      </c>
      <c r="J617" s="1026">
        <f t="shared" ca="1" si="353"/>
        <v>0</v>
      </c>
      <c r="K617" s="1026">
        <f t="shared" ca="1" si="353"/>
        <v>0</v>
      </c>
      <c r="L617" s="1026">
        <f t="shared" ca="1" si="353"/>
        <v>0</v>
      </c>
      <c r="M617" s="1026">
        <f t="shared" ca="1" si="353"/>
        <v>0</v>
      </c>
      <c r="N617" s="1026">
        <f t="shared" ca="1" si="353"/>
        <v>0</v>
      </c>
      <c r="O617" s="1026">
        <f t="shared" ca="1" si="353"/>
        <v>0</v>
      </c>
      <c r="P617" s="1026">
        <f t="shared" ca="1" si="353"/>
        <v>0</v>
      </c>
      <c r="Q617" s="1256">
        <f ca="1">IF(AND(Q$5=-99,NoResCol=1),0,OFFSET(Q615,1,0)-OFFSET(Q615,0,-1))</f>
        <v>0</v>
      </c>
      <c r="R617" s="321"/>
      <c r="S617" s="319" t="s">
        <v>73</v>
      </c>
    </row>
    <row r="618" spans="1:19" ht="11.25" hidden="1" customHeight="1" x14ac:dyDescent="0.35">
      <c r="A618" s="235"/>
      <c r="B618" s="445"/>
      <c r="C618" s="507" t="s">
        <v>5632</v>
      </c>
      <c r="D618" s="1117"/>
      <c r="E618" s="1252" t="s">
        <v>5640</v>
      </c>
      <c r="F618" s="959">
        <f ca="1">OFFSET($E$822,0,F$8)</f>
        <v>0</v>
      </c>
      <c r="G618" s="1055">
        <f t="shared" ref="G618:P618" ca="1" si="354">G$822</f>
        <v>0</v>
      </c>
      <c r="H618" s="1055">
        <f t="shared" ca="1" si="354"/>
        <v>0</v>
      </c>
      <c r="I618" s="1055">
        <f t="shared" ca="1" si="354"/>
        <v>0</v>
      </c>
      <c r="J618" s="1055">
        <f t="shared" ca="1" si="354"/>
        <v>0</v>
      </c>
      <c r="K618" s="1055">
        <f t="shared" ca="1" si="354"/>
        <v>0</v>
      </c>
      <c r="L618" s="1055">
        <f t="shared" ca="1" si="354"/>
        <v>0</v>
      </c>
      <c r="M618" s="1055">
        <f t="shared" ca="1" si="354"/>
        <v>0</v>
      </c>
      <c r="N618" s="1055">
        <f t="shared" ca="1" si="354"/>
        <v>0</v>
      </c>
      <c r="O618" s="1055">
        <f t="shared" ca="1" si="354"/>
        <v>0</v>
      </c>
      <c r="P618" s="1055">
        <f t="shared" ca="1" si="354"/>
        <v>0</v>
      </c>
      <c r="Q618" s="1273"/>
      <c r="R618" s="321"/>
      <c r="S618" s="319" t="s">
        <v>73</v>
      </c>
    </row>
    <row r="619" spans="1:19" ht="11.25" hidden="1" customHeight="1" x14ac:dyDescent="0.35">
      <c r="A619" s="235"/>
      <c r="B619" s="445"/>
      <c r="C619" s="434" t="s">
        <v>5633</v>
      </c>
      <c r="D619" s="1118"/>
      <c r="E619" s="1251" t="s">
        <v>5641</v>
      </c>
      <c r="F619" s="1059">
        <f ca="1">F618-SUM(OFFSET(F618,0,-1))</f>
        <v>0</v>
      </c>
      <c r="G619" s="1030"/>
      <c r="H619" s="1030"/>
      <c r="I619" s="1030"/>
      <c r="J619" s="1030"/>
      <c r="K619" s="1030"/>
      <c r="L619" s="1030"/>
      <c r="M619" s="1030"/>
      <c r="N619" s="1030"/>
      <c r="O619" s="1030"/>
      <c r="P619" s="1030"/>
      <c r="Q619" s="1258">
        <f ca="1">IF(AND(Q$5=-99,NoResCol=1),0,-OFFSET($E$618,0,Q$8-1)+OFFSET($E$618,0,Q$8))</f>
        <v>0</v>
      </c>
      <c r="R619" s="321"/>
      <c r="S619" s="319" t="s">
        <v>73</v>
      </c>
    </row>
    <row r="620" spans="1:19" ht="11.25" hidden="1" customHeight="1" x14ac:dyDescent="0.35">
      <c r="A620" s="235"/>
      <c r="B620" s="445"/>
      <c r="C620" s="507" t="s">
        <v>975</v>
      </c>
      <c r="D620" s="1117"/>
      <c r="E620" s="509" t="s">
        <v>976</v>
      </c>
      <c r="F620" s="959">
        <f ca="1">OFFSET($E$823,0,F$8)</f>
        <v>0</v>
      </c>
      <c r="G620" s="1055">
        <f ca="1">G$823</f>
        <v>0</v>
      </c>
      <c r="H620" s="1055">
        <f t="shared" ref="H620:P620" ca="1" si="355">OFFSET(H620,0,-1)+OFFSET(H620,1,0)</f>
        <v>0</v>
      </c>
      <c r="I620" s="1055">
        <f t="shared" ca="1" si="355"/>
        <v>0</v>
      </c>
      <c r="J620" s="1055">
        <f t="shared" ca="1" si="355"/>
        <v>0</v>
      </c>
      <c r="K620" s="1055">
        <f t="shared" ca="1" si="355"/>
        <v>0</v>
      </c>
      <c r="L620" s="1055">
        <f t="shared" ca="1" si="355"/>
        <v>0</v>
      </c>
      <c r="M620" s="1055">
        <f t="shared" ca="1" si="355"/>
        <v>0</v>
      </c>
      <c r="N620" s="1055">
        <f t="shared" ca="1" si="355"/>
        <v>0</v>
      </c>
      <c r="O620" s="1055">
        <f t="shared" ca="1" si="355"/>
        <v>0</v>
      </c>
      <c r="P620" s="1055">
        <f t="shared" ca="1" si="355"/>
        <v>0</v>
      </c>
      <c r="Q620" s="1273"/>
      <c r="R620" s="321"/>
      <c r="S620" s="319" t="s">
        <v>73</v>
      </c>
    </row>
    <row r="621" spans="1:19" ht="11.25" hidden="1" customHeight="1" x14ac:dyDescent="0.35">
      <c r="A621" s="235"/>
      <c r="B621" s="445"/>
      <c r="C621" s="515" t="s">
        <v>5644</v>
      </c>
      <c r="D621" s="1145"/>
      <c r="E621" s="516" t="s">
        <v>977</v>
      </c>
      <c r="F621" s="1059">
        <f ca="1">F620-SUM(OFFSET(F620,0,-1))</f>
        <v>0</v>
      </c>
      <c r="G621" s="1030"/>
      <c r="H621" s="1030"/>
      <c r="I621" s="1030"/>
      <c r="J621" s="1030"/>
      <c r="K621" s="1030"/>
      <c r="L621" s="1030"/>
      <c r="M621" s="1030"/>
      <c r="N621" s="1030"/>
      <c r="O621" s="1030"/>
      <c r="P621" s="1030"/>
      <c r="Q621" s="1258">
        <f ca="1">IF(AND(Q$5=-99,NoResCol=1),0,-OFFSET($E$620,0,Q$8-1)+OFFSET($E$620,0,Q$8))</f>
        <v>0</v>
      </c>
      <c r="R621" s="321"/>
      <c r="S621" s="319" t="s">
        <v>73</v>
      </c>
    </row>
    <row r="622" spans="1:19" ht="11.25" hidden="1" customHeight="1" x14ac:dyDescent="0.35">
      <c r="A622" s="235"/>
      <c r="B622" s="445"/>
      <c r="C622" s="434" t="s">
        <v>5645</v>
      </c>
      <c r="D622" s="1118"/>
      <c r="E622" s="1251" t="s">
        <v>5642</v>
      </c>
      <c r="F622" s="959">
        <f ca="1">OFFSET($E$824,0,F$8)</f>
        <v>0</v>
      </c>
      <c r="G622" s="1055">
        <f t="shared" ref="G622:P622" ca="1" si="356">G$824</f>
        <v>0</v>
      </c>
      <c r="H622" s="1055">
        <f t="shared" ca="1" si="356"/>
        <v>0</v>
      </c>
      <c r="I622" s="1055">
        <f t="shared" ca="1" si="356"/>
        <v>0</v>
      </c>
      <c r="J622" s="1055">
        <f t="shared" ca="1" si="356"/>
        <v>0</v>
      </c>
      <c r="K622" s="1055">
        <f t="shared" ca="1" si="356"/>
        <v>0</v>
      </c>
      <c r="L622" s="1055">
        <f t="shared" ca="1" si="356"/>
        <v>0</v>
      </c>
      <c r="M622" s="1055">
        <f t="shared" ca="1" si="356"/>
        <v>0</v>
      </c>
      <c r="N622" s="1055">
        <f t="shared" ca="1" si="356"/>
        <v>0</v>
      </c>
      <c r="O622" s="1055">
        <f t="shared" ca="1" si="356"/>
        <v>0</v>
      </c>
      <c r="P622" s="1055">
        <f t="shared" ca="1" si="356"/>
        <v>0</v>
      </c>
      <c r="Q622" s="1273"/>
      <c r="R622" s="321"/>
      <c r="S622" s="319" t="s">
        <v>73</v>
      </c>
    </row>
    <row r="623" spans="1:19" ht="11.25" hidden="1" customHeight="1" x14ac:dyDescent="0.35">
      <c r="A623" s="235"/>
      <c r="B623" s="445"/>
      <c r="C623" s="434" t="s">
        <v>5675</v>
      </c>
      <c r="D623" s="1118"/>
      <c r="E623" s="1251" t="s">
        <v>5643</v>
      </c>
      <c r="F623" s="1059">
        <f ca="1">F622-SUM(OFFSET(F622,0,-1))</f>
        <v>0</v>
      </c>
      <c r="G623" s="1030"/>
      <c r="H623" s="1030"/>
      <c r="I623" s="1030"/>
      <c r="J623" s="1030"/>
      <c r="K623" s="1030"/>
      <c r="L623" s="1030"/>
      <c r="M623" s="1030"/>
      <c r="N623" s="1030"/>
      <c r="O623" s="1030"/>
      <c r="P623" s="1030"/>
      <c r="Q623" s="1258">
        <f ca="1">IF(AND(Q$5=-99,NoResCol=1),0,-OFFSET($E$622,0,Q$8-1)+OFFSET($E$622,0,Q$8))</f>
        <v>0</v>
      </c>
      <c r="R623" s="321"/>
      <c r="S623" s="319" t="s">
        <v>73</v>
      </c>
    </row>
    <row r="624" spans="1:19" ht="11.25" hidden="1" customHeight="1" x14ac:dyDescent="0.35">
      <c r="A624" s="235"/>
      <c r="B624" s="510"/>
      <c r="C624" s="511" t="s">
        <v>978</v>
      </c>
      <c r="D624" s="1144"/>
      <c r="E624" s="337" t="s">
        <v>979</v>
      </c>
      <c r="F624" s="1057">
        <f ca="1">F601+IF(PayablesSpec,F605+F609+F613+F617,0)+OFFSET($E$619,0,F$8)+OFFSET($E$621,0,F$8)+OFFSET($E$623,0,F$8)</f>
        <v>0</v>
      </c>
      <c r="G624" s="1057">
        <f ca="1">IF(NoZeroCol=1,0,G601+IF(PayablesSpec,G605+G609+G613+G617,0)+OFFSET($E$619,0,G$8)+OFFSET($E$621,0,G$8)+OFFSET($E$623,0,G$8))</f>
        <v>0</v>
      </c>
      <c r="H624" s="1057">
        <f t="shared" ref="H624:P624" ca="1" si="357">H601+IF(PayablesSpec,H605+H609+H613+H617,0)+OFFSET($E$619,0,H$8)+OFFSET($E$621,0,H$8)+OFFSET($E$623,0,H$8)</f>
        <v>485099.99999999994</v>
      </c>
      <c r="I624" s="1057">
        <f t="shared" ca="1" si="357"/>
        <v>8273.6472997716046</v>
      </c>
      <c r="J624" s="1057">
        <f t="shared" ca="1" si="357"/>
        <v>8414.758904886141</v>
      </c>
      <c r="K624" s="1057">
        <f t="shared" ca="1" si="357"/>
        <v>8558.2772460355191</v>
      </c>
      <c r="L624" s="1057">
        <f t="shared" ca="1" si="357"/>
        <v>114828.003776406</v>
      </c>
      <c r="M624" s="1057">
        <f t="shared" ca="1" si="357"/>
        <v>140664.30462609709</v>
      </c>
      <c r="N624" s="1057">
        <f t="shared" ca="1" si="357"/>
        <v>172313.7731669693</v>
      </c>
      <c r="O624" s="1057">
        <f t="shared" ca="1" si="357"/>
        <v>211084.37212953717</v>
      </c>
      <c r="P624" s="1057">
        <f t="shared" ca="1" si="357"/>
        <v>258578.35585868335</v>
      </c>
      <c r="Q624" s="1274">
        <f ca="1">IF(NoResCol=1,0,Q601+IF(PayablesSpec,Q605+Q609+Q613+Q617,0)+Q619+Q621+Q623)</f>
        <v>-1407815.4930083861</v>
      </c>
      <c r="R624" s="321"/>
      <c r="S624" s="319" t="s">
        <v>71</v>
      </c>
    </row>
    <row r="625" spans="1:19" ht="11.25" customHeight="1" x14ac:dyDescent="0.35">
      <c r="A625" s="235"/>
      <c r="B625" s="517" t="s">
        <v>980</v>
      </c>
      <c r="C625" s="518"/>
      <c r="D625" s="1144"/>
      <c r="E625" s="337" t="s">
        <v>981</v>
      </c>
      <c r="F625" s="958">
        <f ca="1">SUM(OFFSET(F626,0,-1))-F626</f>
        <v>0</v>
      </c>
      <c r="G625" s="1060">
        <f t="shared" ref="G625:Q625" si="358">IF(OR(AND(G$5=0,NoZeroCol=1),AND(G$5=-99,NoResCol=1)),0,G574+G596+G624)</f>
        <v>0</v>
      </c>
      <c r="H625" s="1060">
        <f t="shared" ca="1" si="358"/>
        <v>-1121400</v>
      </c>
      <c r="I625" s="1060">
        <f t="shared" ca="1" si="358"/>
        <v>-349876.09375791351</v>
      </c>
      <c r="J625" s="1060">
        <f t="shared" ca="1" si="358"/>
        <v>-25093.422965035541</v>
      </c>
      <c r="K625" s="1060">
        <f t="shared" ca="1" si="358"/>
        <v>-25521.405094816175</v>
      </c>
      <c r="L625" s="1060">
        <f t="shared" ca="1" si="358"/>
        <v>-207488.40778447018</v>
      </c>
      <c r="M625" s="1060">
        <f t="shared" ref="M625:N625" ca="1" si="359">IF(OR(AND(M$5=0,NoZeroCol=1),AND(M$5=-99,NoResCol=1)),0,M574+M596+M624)</f>
        <v>-389110.34916050255</v>
      </c>
      <c r="N625" s="1060">
        <f t="shared" ca="1" si="359"/>
        <v>-476660.17772161646</v>
      </c>
      <c r="O625" s="1060">
        <f t="shared" ref="O625:P625" ca="1" si="360">IF(OR(AND(O$5=0,NoZeroCol=1),AND(O$5=-99,NoResCol=1)),0,O574+O596+O624)</f>
        <v>-583908.71770897927</v>
      </c>
      <c r="P625" s="1060">
        <f t="shared" ca="1" si="360"/>
        <v>-715288.1791935002</v>
      </c>
      <c r="Q625" s="1263">
        <f t="shared" ca="1" si="358"/>
        <v>3894346.7533868337</v>
      </c>
      <c r="R625" s="321"/>
      <c r="S625" s="319" t="s">
        <v>644</v>
      </c>
    </row>
    <row r="626" spans="1:19" ht="11.25" customHeight="1" x14ac:dyDescent="0.35">
      <c r="A626" s="235"/>
      <c r="B626" s="341" t="s">
        <v>982</v>
      </c>
      <c r="C626" s="511"/>
      <c r="D626" s="1144"/>
      <c r="E626" s="337" t="s">
        <v>983</v>
      </c>
      <c r="F626" s="958">
        <f ca="1">F547+F568+F577-F599-F620+IF(ReceivablesSpec,F551+F555+F559+F563,0)+IF(InventoriesSpec,F581+F585+F589+F593,0)-IF(PayablesSpec,F603+F607+F611+F615,0)</f>
        <v>0</v>
      </c>
      <c r="G626" s="1057">
        <f t="shared" ref="G626:Q626" ca="1" si="361">-G625+OFFSET(G626,0,-1)</f>
        <v>0</v>
      </c>
      <c r="H626" s="1057">
        <f t="shared" ca="1" si="361"/>
        <v>1121400</v>
      </c>
      <c r="I626" s="1057">
        <f t="shared" ca="1" si="361"/>
        <v>1471276.0937579134</v>
      </c>
      <c r="J626" s="1057">
        <f t="shared" ca="1" si="361"/>
        <v>1496369.516722949</v>
      </c>
      <c r="K626" s="1057">
        <f t="shared" ca="1" si="361"/>
        <v>1521890.9218177651</v>
      </c>
      <c r="L626" s="1057">
        <f t="shared" ca="1" si="361"/>
        <v>1729379.3296022352</v>
      </c>
      <c r="M626" s="1057">
        <f t="shared" ref="M626:N626" ca="1" si="362">-M625+OFFSET(M626,0,-1)</f>
        <v>2118489.6787627377</v>
      </c>
      <c r="N626" s="1057">
        <f t="shared" ca="1" si="362"/>
        <v>2595149.856484354</v>
      </c>
      <c r="O626" s="1057">
        <f t="shared" ref="O626:P626" ca="1" si="363">-O625+OFFSET(O626,0,-1)</f>
        <v>3179058.5741933333</v>
      </c>
      <c r="P626" s="1057">
        <f t="shared" ca="1" si="363"/>
        <v>3894346.7533868337</v>
      </c>
      <c r="Q626" s="1274">
        <f t="shared" ca="1" si="361"/>
        <v>0</v>
      </c>
      <c r="R626" s="321"/>
      <c r="S626" s="319" t="s">
        <v>644</v>
      </c>
    </row>
    <row r="627" spans="1:19" ht="5.15" customHeight="1" x14ac:dyDescent="0.35">
      <c r="A627" s="235"/>
      <c r="B627" s="235"/>
      <c r="C627" s="235"/>
      <c r="D627" s="235"/>
      <c r="E627" s="317" t="s">
        <v>39</v>
      </c>
      <c r="F627" s="519"/>
      <c r="G627" s="520"/>
      <c r="H627" s="520"/>
      <c r="I627" s="520"/>
      <c r="J627" s="520"/>
      <c r="K627" s="520"/>
      <c r="L627" s="520"/>
      <c r="M627" s="520"/>
      <c r="N627" s="520"/>
      <c r="O627" s="520"/>
      <c r="P627" s="520"/>
      <c r="Q627" s="520"/>
      <c r="R627" s="321"/>
      <c r="S627" s="319" t="s">
        <v>66</v>
      </c>
    </row>
    <row r="628" spans="1:19" ht="12" customHeight="1" x14ac:dyDescent="0.35">
      <c r="A628" s="235"/>
      <c r="B628" s="331" t="s">
        <v>984</v>
      </c>
      <c r="C628" s="235"/>
      <c r="D628" s="235"/>
      <c r="E628" s="324" t="s">
        <v>985</v>
      </c>
      <c r="F628" s="317"/>
      <c r="G628" s="501"/>
      <c r="H628" s="501"/>
      <c r="I628" s="501"/>
      <c r="J628" s="501"/>
      <c r="K628" s="501"/>
      <c r="L628" s="501"/>
      <c r="M628" s="501"/>
      <c r="N628" s="501"/>
      <c r="O628" s="501"/>
      <c r="P628" s="501"/>
      <c r="Q628" s="501"/>
      <c r="R628" s="321"/>
      <c r="S628" s="319" t="s">
        <v>54</v>
      </c>
    </row>
    <row r="629" spans="1:19" ht="12" customHeight="1" x14ac:dyDescent="0.35">
      <c r="A629" s="235"/>
      <c r="B629" s="434"/>
      <c r="C629" s="434"/>
      <c r="D629" s="434"/>
      <c r="E629" s="324" t="s">
        <v>986</v>
      </c>
      <c r="F629" s="317"/>
      <c r="G629" s="521"/>
      <c r="H629" s="521"/>
      <c r="I629" s="521"/>
      <c r="J629" s="521"/>
      <c r="K629" s="521"/>
      <c r="L629" s="521"/>
      <c r="M629" s="521"/>
      <c r="N629" s="521"/>
      <c r="O629" s="521"/>
      <c r="P629" s="521"/>
      <c r="Q629" s="521"/>
      <c r="R629" s="321"/>
      <c r="S629" s="319" t="s">
        <v>54</v>
      </c>
    </row>
    <row r="630" spans="1:19" ht="16" customHeight="1" x14ac:dyDescent="0.35">
      <c r="A630" s="235"/>
      <c r="B630" s="522" t="s">
        <v>987</v>
      </c>
      <c r="C630" s="434"/>
      <c r="D630" s="434"/>
      <c r="E630" s="324" t="s">
        <v>988</v>
      </c>
      <c r="F630" s="317"/>
      <c r="G630" s="521"/>
      <c r="H630" s="521"/>
      <c r="I630" s="521"/>
      <c r="J630" s="521"/>
      <c r="K630" s="521"/>
      <c r="L630" s="521"/>
      <c r="M630" s="521"/>
      <c r="N630" s="521"/>
      <c r="O630" s="521"/>
      <c r="P630" s="521"/>
      <c r="Q630" s="521"/>
      <c r="R630" s="321"/>
      <c r="S630" s="319" t="s">
        <v>66</v>
      </c>
    </row>
    <row r="631" spans="1:19" ht="11.25" customHeight="1" x14ac:dyDescent="0.35">
      <c r="A631" s="401"/>
      <c r="B631" s="334" t="str">
        <f>IF(PrintMode=0,"           ","")&amp;IF(Figures&gt;1,Figures&amp;" ","")&amp;Currency</f>
        <v xml:space="preserve">           Euro</v>
      </c>
      <c r="C631" s="435"/>
      <c r="D631" s="1104"/>
      <c r="E631" s="337" t="s">
        <v>989</v>
      </c>
      <c r="F631" s="950" t="str">
        <f>F$1&amp;"/"&amp;F$3</f>
        <v>12/2018</v>
      </c>
      <c r="G631" s="951" t="str">
        <f>G$1&amp;"/"&amp;G$3</f>
        <v>9/2019</v>
      </c>
      <c r="H631" s="952" t="str">
        <f t="shared" ref="H631:P631" si="364">H$440</f>
        <v>9/2019</v>
      </c>
      <c r="I631" s="952" t="str">
        <f t="shared" si="364"/>
        <v>10/2019</v>
      </c>
      <c r="J631" s="952" t="str">
        <f t="shared" si="364"/>
        <v>11/2019</v>
      </c>
      <c r="K631" s="952" t="str">
        <f t="shared" si="364"/>
        <v>12/2019</v>
      </c>
      <c r="L631" s="952" t="str">
        <f t="shared" si="364"/>
        <v>12/2020</v>
      </c>
      <c r="M631" s="952" t="str">
        <f t="shared" si="364"/>
        <v>12/2021</v>
      </c>
      <c r="N631" s="952" t="str">
        <f t="shared" si="364"/>
        <v>12/2022</v>
      </c>
      <c r="O631" s="952" t="str">
        <f t="shared" si="364"/>
        <v>12/2023</v>
      </c>
      <c r="P631" s="952" t="str">
        <f t="shared" si="364"/>
        <v>12/2024</v>
      </c>
      <c r="Q631" s="1259" t="str">
        <f ca="1">Q$16</f>
        <v>Residual</v>
      </c>
      <c r="R631" s="321"/>
      <c r="S631" s="319" t="s">
        <v>66</v>
      </c>
    </row>
    <row r="632" spans="1:19" ht="14.15" customHeight="1" x14ac:dyDescent="0.35">
      <c r="A632" s="235"/>
      <c r="B632" s="341" t="s">
        <v>59</v>
      </c>
      <c r="C632" s="342"/>
      <c r="D632" s="1105"/>
      <c r="E632" s="392" t="s">
        <v>990</v>
      </c>
      <c r="F632" s="953">
        <f>F$17</f>
        <v>12</v>
      </c>
      <c r="G632" s="954"/>
      <c r="H632" s="954">
        <f t="shared" ref="H632:Q632" si="365">H$17</f>
        <v>1</v>
      </c>
      <c r="I632" s="954">
        <f t="shared" si="365"/>
        <v>1</v>
      </c>
      <c r="J632" s="954">
        <f t="shared" si="365"/>
        <v>1</v>
      </c>
      <c r="K632" s="954">
        <f t="shared" si="365"/>
        <v>1</v>
      </c>
      <c r="L632" s="954">
        <f t="shared" si="365"/>
        <v>12</v>
      </c>
      <c r="M632" s="954">
        <f t="shared" si="365"/>
        <v>12</v>
      </c>
      <c r="N632" s="954">
        <f t="shared" si="365"/>
        <v>12</v>
      </c>
      <c r="O632" s="954">
        <f t="shared" si="365"/>
        <v>12</v>
      </c>
      <c r="P632" s="954">
        <f t="shared" si="365"/>
        <v>12</v>
      </c>
      <c r="Q632" s="1260" t="str">
        <f t="shared" ca="1" si="365"/>
        <v>(12/2024)</v>
      </c>
      <c r="R632" s="321"/>
      <c r="S632" s="319" t="s">
        <v>71</v>
      </c>
    </row>
    <row r="633" spans="1:19" ht="14.15" customHeight="1" x14ac:dyDescent="0.35">
      <c r="A633" s="235"/>
      <c r="B633" s="436" t="s">
        <v>991</v>
      </c>
      <c r="C633" s="391"/>
      <c r="D633" s="1137"/>
      <c r="E633" s="324" t="s">
        <v>992</v>
      </c>
      <c r="F633" s="959"/>
      <c r="G633" s="1061"/>
      <c r="H633" s="1061"/>
      <c r="I633" s="1061"/>
      <c r="J633" s="1061"/>
      <c r="K633" s="1061"/>
      <c r="L633" s="1061"/>
      <c r="M633" s="1061"/>
      <c r="N633" s="1061"/>
      <c r="O633" s="1061"/>
      <c r="P633" s="1061"/>
      <c r="Q633" s="1261"/>
      <c r="R633" s="321"/>
      <c r="S633" s="319" t="s">
        <v>71</v>
      </c>
    </row>
    <row r="634" spans="1:19" ht="12" customHeight="1" x14ac:dyDescent="0.35">
      <c r="A634" s="235"/>
      <c r="B634" s="445"/>
      <c r="C634" s="434" t="s">
        <v>817</v>
      </c>
      <c r="D634" s="1118"/>
      <c r="E634" s="324" t="s">
        <v>993</v>
      </c>
      <c r="F634" s="971">
        <f t="shared" ref="F634:Q634" ca="1" si="366">IF(OR(AND(F$5=0,NoZeroCol=1),AND(F$5=-99,NoResCol=1)),0,F456+OFFSET($E$458,0,F$8))</f>
        <v>0</v>
      </c>
      <c r="G634" s="1026">
        <f t="shared" ca="1" si="366"/>
        <v>0</v>
      </c>
      <c r="H634" s="1026">
        <f t="shared" ca="1" si="366"/>
        <v>945000</v>
      </c>
      <c r="I634" s="1026">
        <f t="shared" ca="1" si="366"/>
        <v>961117.49473981478</v>
      </c>
      <c r="J634" s="1026">
        <f t="shared" ca="1" si="366"/>
        <v>977509.88221686566</v>
      </c>
      <c r="K634" s="1026">
        <f t="shared" ca="1" si="366"/>
        <v>994181.85087797383</v>
      </c>
      <c r="L634" s="1026">
        <f t="shared" ca="1" si="366"/>
        <v>14614473.207906216</v>
      </c>
      <c r="M634" s="1026">
        <f t="shared" ref="M634:N634" ca="1" si="367">IF(OR(AND(M$5=0,NoZeroCol=1),AND(M$5=-99,NoResCol=1)),0,M456+OFFSET($E$458,0,M$8))</f>
        <v>17902729.679685112</v>
      </c>
      <c r="N634" s="1026">
        <f t="shared" ca="1" si="367"/>
        <v>21930843.857614264</v>
      </c>
      <c r="O634" s="1026">
        <f t="shared" ref="O634:P634" ca="1" si="368">IF(OR(AND(O$5=0,NoZeroCol=1),AND(O$5=-99,NoResCol=1)),0,O456+OFFSET($E$458,0,O$8))</f>
        <v>26865283.72557747</v>
      </c>
      <c r="P634" s="1026">
        <f t="shared" ca="1" si="368"/>
        <v>32909972.563832402</v>
      </c>
      <c r="Q634" s="1256">
        <f t="shared" ca="1" si="366"/>
        <v>0</v>
      </c>
      <c r="R634" s="321"/>
      <c r="S634" s="319" t="s">
        <v>71</v>
      </c>
    </row>
    <row r="635" spans="1:19" ht="12" hidden="1" customHeight="1" x14ac:dyDescent="0.35">
      <c r="A635" s="235"/>
      <c r="B635" s="445"/>
      <c r="C635" s="523" t="str">
        <f ca="1">""&amp;OFFSET($E443,0,-2)</f>
        <v>Sales</v>
      </c>
      <c r="D635" s="1117"/>
      <c r="E635" s="380" t="s">
        <v>994</v>
      </c>
      <c r="F635" s="959">
        <f t="shared" ref="F635:L635" ca="1" si="369">IF(OR(AND(F$5=0,NoZeroCol=1),AND(F$5=-99,NoResCol=1)),0,OFFSET($E443,0,F$8))</f>
        <v>0</v>
      </c>
      <c r="G635" s="1055">
        <f t="shared" ca="1" si="369"/>
        <v>0</v>
      </c>
      <c r="H635" s="1055">
        <f t="shared" ca="1" si="369"/>
        <v>945000</v>
      </c>
      <c r="I635" s="1055">
        <f t="shared" ca="1" si="369"/>
        <v>961117.49473981478</v>
      </c>
      <c r="J635" s="1055">
        <f t="shared" ca="1" si="369"/>
        <v>977509.88221686566</v>
      </c>
      <c r="K635" s="1055">
        <f t="shared" ca="1" si="369"/>
        <v>994181.85087797383</v>
      </c>
      <c r="L635" s="1055">
        <f t="shared" ca="1" si="369"/>
        <v>14614473.207906216</v>
      </c>
      <c r="M635" s="1055">
        <f t="shared" ref="M635:N635" ca="1" si="370">IF(OR(AND(M$5=0,NoZeroCol=1),AND(M$5=-99,NoResCol=1)),0,OFFSET($E443,0,M$8))</f>
        <v>17902729.679685112</v>
      </c>
      <c r="N635" s="1055">
        <f t="shared" ca="1" si="370"/>
        <v>21930843.857614264</v>
      </c>
      <c r="O635" s="1055">
        <f t="shared" ref="O635:P635" ca="1" si="371">IF(OR(AND(O$5=0,NoZeroCol=1),AND(O$5=-99,NoResCol=1)),0,OFFSET($E443,0,O$8))</f>
        <v>26865283.72557747</v>
      </c>
      <c r="P635" s="1055">
        <f t="shared" ca="1" si="371"/>
        <v>32909972.563832402</v>
      </c>
      <c r="Q635" s="1262">
        <f ca="1">IF(OR(AND(Q$5=0,NoZeroCol=1),AND(Q$5=-99,NoResCol=1)),0,OFFSET($E443,0,Q$8))</f>
        <v>0</v>
      </c>
      <c r="R635" s="321" t="str">
        <f>R443</f>
        <v/>
      </c>
      <c r="S635" s="319" t="s">
        <v>229</v>
      </c>
    </row>
    <row r="636" spans="1:19" ht="12" hidden="1" customHeight="1" x14ac:dyDescent="0.35">
      <c r="A636" s="235"/>
      <c r="B636" s="445"/>
      <c r="C636" s="445" t="str">
        <f ca="1">""&amp;OFFSET($E447,0,-2)</f>
        <v/>
      </c>
      <c r="D636" s="1118"/>
      <c r="E636" s="324" t="s">
        <v>995</v>
      </c>
      <c r="F636" s="971">
        <f t="shared" ref="F636:Q639" ca="1" si="372">IF(OR(AND(F$5=0,NoZeroCol=1),AND(F$5=-99,NoResCol=1)),0,OFFSET($E447,0,F$8))</f>
        <v>0</v>
      </c>
      <c r="G636" s="1026">
        <f t="shared" ca="1" si="372"/>
        <v>0</v>
      </c>
      <c r="H636" s="1026">
        <f t="shared" ca="1" si="372"/>
        <v>0</v>
      </c>
      <c r="I636" s="1026">
        <f t="shared" ca="1" si="372"/>
        <v>0</v>
      </c>
      <c r="J636" s="1026">
        <f t="shared" ca="1" si="372"/>
        <v>0</v>
      </c>
      <c r="K636" s="1026">
        <f t="shared" ca="1" si="372"/>
        <v>0</v>
      </c>
      <c r="L636" s="1026">
        <f t="shared" ca="1" si="372"/>
        <v>0</v>
      </c>
      <c r="M636" s="1026">
        <f t="shared" ref="M636:N636" ca="1" si="373">IF(OR(AND(M$5=0,NoZeroCol=1),AND(M$5=-99,NoResCol=1)),0,OFFSET($E447,0,M$8))</f>
        <v>0</v>
      </c>
      <c r="N636" s="1026">
        <f t="shared" ca="1" si="373"/>
        <v>0</v>
      </c>
      <c r="O636" s="1026">
        <f t="shared" ref="O636:P636" ca="1" si="374">IF(OR(AND(O$5=0,NoZeroCol=1),AND(O$5=-99,NoResCol=1)),0,OFFSET($E447,0,O$8))</f>
        <v>0</v>
      </c>
      <c r="P636" s="1026">
        <f t="shared" ca="1" si="374"/>
        <v>0</v>
      </c>
      <c r="Q636" s="1256">
        <f t="shared" ca="1" si="372"/>
        <v>0</v>
      </c>
      <c r="R636" s="321" t="str">
        <f>R447</f>
        <v/>
      </c>
      <c r="S636" s="319" t="s">
        <v>229</v>
      </c>
    </row>
    <row r="637" spans="1:19" ht="12" hidden="1" customHeight="1" x14ac:dyDescent="0.35">
      <c r="A637" s="235"/>
      <c r="B637" s="445"/>
      <c r="C637" s="445" t="str">
        <f ca="1">""&amp;OFFSET($E448,0,-2)</f>
        <v/>
      </c>
      <c r="D637" s="1118"/>
      <c r="E637" s="324" t="s">
        <v>996</v>
      </c>
      <c r="F637" s="971">
        <f t="shared" ca="1" si="372"/>
        <v>0</v>
      </c>
      <c r="G637" s="1026">
        <f t="shared" ca="1" si="372"/>
        <v>0</v>
      </c>
      <c r="H637" s="1026">
        <f t="shared" ca="1" si="372"/>
        <v>0</v>
      </c>
      <c r="I637" s="1026">
        <f t="shared" ca="1" si="372"/>
        <v>0</v>
      </c>
      <c r="J637" s="1026">
        <f t="shared" ca="1" si="372"/>
        <v>0</v>
      </c>
      <c r="K637" s="1026">
        <f t="shared" ca="1" si="372"/>
        <v>0</v>
      </c>
      <c r="L637" s="1026">
        <f t="shared" ca="1" si="372"/>
        <v>0</v>
      </c>
      <c r="M637" s="1026">
        <f t="shared" ref="M637:N637" ca="1" si="375">IF(OR(AND(M$5=0,NoZeroCol=1),AND(M$5=-99,NoResCol=1)),0,OFFSET($E448,0,M$8))</f>
        <v>0</v>
      </c>
      <c r="N637" s="1026">
        <f t="shared" ca="1" si="375"/>
        <v>0</v>
      </c>
      <c r="O637" s="1026">
        <f t="shared" ref="O637:P637" ca="1" si="376">IF(OR(AND(O$5=0,NoZeroCol=1),AND(O$5=-99,NoResCol=1)),0,OFFSET($E448,0,O$8))</f>
        <v>0</v>
      </c>
      <c r="P637" s="1026">
        <f t="shared" ca="1" si="376"/>
        <v>0</v>
      </c>
      <c r="Q637" s="1256">
        <f t="shared" ca="1" si="372"/>
        <v>0</v>
      </c>
      <c r="R637" s="321" t="str">
        <f>R448</f>
        <v/>
      </c>
      <c r="S637" s="319" t="s">
        <v>229</v>
      </c>
    </row>
    <row r="638" spans="1:19" ht="12" hidden="1" customHeight="1" x14ac:dyDescent="0.35">
      <c r="A638" s="235"/>
      <c r="B638" s="445"/>
      <c r="C638" s="445" t="str">
        <f ca="1">""&amp;OFFSET($E449,0,-2)</f>
        <v/>
      </c>
      <c r="D638" s="1118"/>
      <c r="E638" s="324" t="s">
        <v>997</v>
      </c>
      <c r="F638" s="971">
        <f t="shared" ca="1" si="372"/>
        <v>0</v>
      </c>
      <c r="G638" s="1026">
        <f t="shared" ca="1" si="372"/>
        <v>0</v>
      </c>
      <c r="H638" s="1026">
        <f t="shared" ca="1" si="372"/>
        <v>0</v>
      </c>
      <c r="I638" s="1026">
        <f t="shared" ca="1" si="372"/>
        <v>0</v>
      </c>
      <c r="J638" s="1026">
        <f t="shared" ca="1" si="372"/>
        <v>0</v>
      </c>
      <c r="K638" s="1026">
        <f t="shared" ca="1" si="372"/>
        <v>0</v>
      </c>
      <c r="L638" s="1026">
        <f t="shared" ca="1" si="372"/>
        <v>0</v>
      </c>
      <c r="M638" s="1026">
        <f t="shared" ref="M638:N638" ca="1" si="377">IF(OR(AND(M$5=0,NoZeroCol=1),AND(M$5=-99,NoResCol=1)),0,OFFSET($E449,0,M$8))</f>
        <v>0</v>
      </c>
      <c r="N638" s="1026">
        <f t="shared" ca="1" si="377"/>
        <v>0</v>
      </c>
      <c r="O638" s="1026">
        <f t="shared" ref="O638:P638" ca="1" si="378">IF(OR(AND(O$5=0,NoZeroCol=1),AND(O$5=-99,NoResCol=1)),0,OFFSET($E449,0,O$8))</f>
        <v>0</v>
      </c>
      <c r="P638" s="1026">
        <f t="shared" ca="1" si="378"/>
        <v>0</v>
      </c>
      <c r="Q638" s="1256">
        <f t="shared" ca="1" si="372"/>
        <v>0</v>
      </c>
      <c r="R638" s="321" t="str">
        <f>R449</f>
        <v/>
      </c>
      <c r="S638" s="319" t="s">
        <v>229</v>
      </c>
    </row>
    <row r="639" spans="1:19" ht="12" hidden="1" customHeight="1" x14ac:dyDescent="0.35">
      <c r="A639" s="235"/>
      <c r="B639" s="445"/>
      <c r="C639" s="445" t="str">
        <f t="shared" ref="C639:C644" ca="1" si="379">""&amp;OFFSET($E450,0,-2)</f>
        <v/>
      </c>
      <c r="D639" s="1118"/>
      <c r="E639" s="324" t="s">
        <v>998</v>
      </c>
      <c r="F639" s="971">
        <f t="shared" ca="1" si="372"/>
        <v>0</v>
      </c>
      <c r="G639" s="1026">
        <f t="shared" ca="1" si="372"/>
        <v>0</v>
      </c>
      <c r="H639" s="1026">
        <f t="shared" ca="1" si="372"/>
        <v>0</v>
      </c>
      <c r="I639" s="1026">
        <f t="shared" ca="1" si="372"/>
        <v>0</v>
      </c>
      <c r="J639" s="1026">
        <f t="shared" ca="1" si="372"/>
        <v>0</v>
      </c>
      <c r="K639" s="1026">
        <f t="shared" ca="1" si="372"/>
        <v>0</v>
      </c>
      <c r="L639" s="1026">
        <f t="shared" ca="1" si="372"/>
        <v>0</v>
      </c>
      <c r="M639" s="1026">
        <f t="shared" ref="M639:N639" ca="1" si="380">IF(OR(AND(M$5=0,NoZeroCol=1),AND(M$5=-99,NoResCol=1)),0,OFFSET($E450,0,M$8))</f>
        <v>0</v>
      </c>
      <c r="N639" s="1026">
        <f t="shared" ca="1" si="380"/>
        <v>0</v>
      </c>
      <c r="O639" s="1026">
        <f t="shared" ref="O639:P639" ca="1" si="381">IF(OR(AND(O$5=0,NoZeroCol=1),AND(O$5=-99,NoResCol=1)),0,OFFSET($E450,0,O$8))</f>
        <v>0</v>
      </c>
      <c r="P639" s="1026">
        <f t="shared" ca="1" si="381"/>
        <v>0</v>
      </c>
      <c r="Q639" s="1256">
        <f t="shared" ca="1" si="372"/>
        <v>0</v>
      </c>
      <c r="R639" s="321" t="str">
        <f>R450</f>
        <v/>
      </c>
      <c r="S639" s="319" t="s">
        <v>229</v>
      </c>
    </row>
    <row r="640" spans="1:19" ht="12" hidden="1" customHeight="1" x14ac:dyDescent="0.35">
      <c r="A640" s="235"/>
      <c r="B640" s="445"/>
      <c r="C640" s="445" t="str">
        <f t="shared" ca="1" si="379"/>
        <v/>
      </c>
      <c r="D640" s="1118"/>
      <c r="E640" s="324" t="s">
        <v>5175</v>
      </c>
      <c r="F640" s="971">
        <f t="shared" ref="F640:Q640" ca="1" si="382">IF(OR(AND(F$5=0,NoZeroCol=1),AND(F$5=-99,NoResCol=1)),0,OFFSET($E451,0,F$8))</f>
        <v>0</v>
      </c>
      <c r="G640" s="1026">
        <f t="shared" ca="1" si="382"/>
        <v>0</v>
      </c>
      <c r="H640" s="1026">
        <f t="shared" ca="1" si="382"/>
        <v>0</v>
      </c>
      <c r="I640" s="1026">
        <f t="shared" ca="1" si="382"/>
        <v>0</v>
      </c>
      <c r="J640" s="1026">
        <f t="shared" ca="1" si="382"/>
        <v>0</v>
      </c>
      <c r="K640" s="1026">
        <f t="shared" ca="1" si="382"/>
        <v>0</v>
      </c>
      <c r="L640" s="1026">
        <f t="shared" ca="1" si="382"/>
        <v>0</v>
      </c>
      <c r="M640" s="1026">
        <f t="shared" ref="M640:N640" ca="1" si="383">IF(OR(AND(M$5=0,NoZeroCol=1),AND(M$5=-99,NoResCol=1)),0,OFFSET($E451,0,M$8))</f>
        <v>0</v>
      </c>
      <c r="N640" s="1026">
        <f t="shared" ca="1" si="383"/>
        <v>0</v>
      </c>
      <c r="O640" s="1026">
        <f t="shared" ref="O640:P640" ca="1" si="384">IF(OR(AND(O$5=0,NoZeroCol=1),AND(O$5=-99,NoResCol=1)),0,OFFSET($E451,0,O$8))</f>
        <v>0</v>
      </c>
      <c r="P640" s="1026">
        <f t="shared" ca="1" si="384"/>
        <v>0</v>
      </c>
      <c r="Q640" s="1256">
        <f t="shared" ca="1" si="382"/>
        <v>0</v>
      </c>
      <c r="R640" s="321" t="str">
        <f t="shared" ref="R640:R644" si="385">R451</f>
        <v/>
      </c>
      <c r="S640" s="319" t="s">
        <v>229</v>
      </c>
    </row>
    <row r="641" spans="1:19" ht="12" hidden="1" customHeight="1" x14ac:dyDescent="0.35">
      <c r="A641" s="235"/>
      <c r="B641" s="445"/>
      <c r="C641" s="445" t="str">
        <f t="shared" ca="1" si="379"/>
        <v/>
      </c>
      <c r="D641" s="1118"/>
      <c r="E641" s="324" t="s">
        <v>5176</v>
      </c>
      <c r="F641" s="971">
        <f t="shared" ref="F641:Q641" ca="1" si="386">IF(OR(AND(F$5=0,NoZeroCol=1),AND(F$5=-99,NoResCol=1)),0,OFFSET($E452,0,F$8))</f>
        <v>0</v>
      </c>
      <c r="G641" s="1026">
        <f t="shared" ca="1" si="386"/>
        <v>0</v>
      </c>
      <c r="H641" s="1026">
        <f t="shared" ca="1" si="386"/>
        <v>0</v>
      </c>
      <c r="I641" s="1026">
        <f t="shared" ca="1" si="386"/>
        <v>0</v>
      </c>
      <c r="J641" s="1026">
        <f t="shared" ca="1" si="386"/>
        <v>0</v>
      </c>
      <c r="K641" s="1026">
        <f t="shared" ca="1" si="386"/>
        <v>0</v>
      </c>
      <c r="L641" s="1026">
        <f t="shared" ca="1" si="386"/>
        <v>0</v>
      </c>
      <c r="M641" s="1026">
        <f t="shared" ref="M641:N641" ca="1" si="387">IF(OR(AND(M$5=0,NoZeroCol=1),AND(M$5=-99,NoResCol=1)),0,OFFSET($E452,0,M$8))</f>
        <v>0</v>
      </c>
      <c r="N641" s="1026">
        <f t="shared" ca="1" si="387"/>
        <v>0</v>
      </c>
      <c r="O641" s="1026">
        <f t="shared" ref="O641:P641" ca="1" si="388">IF(OR(AND(O$5=0,NoZeroCol=1),AND(O$5=-99,NoResCol=1)),0,OFFSET($E452,0,O$8))</f>
        <v>0</v>
      </c>
      <c r="P641" s="1026">
        <f t="shared" ca="1" si="388"/>
        <v>0</v>
      </c>
      <c r="Q641" s="1256">
        <f t="shared" ca="1" si="386"/>
        <v>0</v>
      </c>
      <c r="R641" s="321" t="str">
        <f t="shared" si="385"/>
        <v/>
      </c>
      <c r="S641" s="319" t="s">
        <v>229</v>
      </c>
    </row>
    <row r="642" spans="1:19" ht="12" hidden="1" customHeight="1" x14ac:dyDescent="0.35">
      <c r="A642" s="235"/>
      <c r="B642" s="445"/>
      <c r="C642" s="445" t="str">
        <f t="shared" ca="1" si="379"/>
        <v/>
      </c>
      <c r="D642" s="1118"/>
      <c r="E642" s="324" t="s">
        <v>5177</v>
      </c>
      <c r="F642" s="971">
        <f t="shared" ref="F642:Q642" ca="1" si="389">IF(OR(AND(F$5=0,NoZeroCol=1),AND(F$5=-99,NoResCol=1)),0,OFFSET($E453,0,F$8))</f>
        <v>0</v>
      </c>
      <c r="G642" s="1026">
        <f t="shared" ca="1" si="389"/>
        <v>0</v>
      </c>
      <c r="H642" s="1026">
        <f t="shared" ca="1" si="389"/>
        <v>0</v>
      </c>
      <c r="I642" s="1026">
        <f t="shared" ca="1" si="389"/>
        <v>0</v>
      </c>
      <c r="J642" s="1026">
        <f t="shared" ca="1" si="389"/>
        <v>0</v>
      </c>
      <c r="K642" s="1026">
        <f t="shared" ca="1" si="389"/>
        <v>0</v>
      </c>
      <c r="L642" s="1026">
        <f t="shared" ca="1" si="389"/>
        <v>0</v>
      </c>
      <c r="M642" s="1026">
        <f t="shared" ref="M642:N642" ca="1" si="390">IF(OR(AND(M$5=0,NoZeroCol=1),AND(M$5=-99,NoResCol=1)),0,OFFSET($E453,0,M$8))</f>
        <v>0</v>
      </c>
      <c r="N642" s="1026">
        <f t="shared" ca="1" si="390"/>
        <v>0</v>
      </c>
      <c r="O642" s="1026">
        <f t="shared" ref="O642:P642" ca="1" si="391">IF(OR(AND(O$5=0,NoZeroCol=1),AND(O$5=-99,NoResCol=1)),0,OFFSET($E453,0,O$8))</f>
        <v>0</v>
      </c>
      <c r="P642" s="1026">
        <f t="shared" ca="1" si="391"/>
        <v>0</v>
      </c>
      <c r="Q642" s="1256">
        <f t="shared" ca="1" si="389"/>
        <v>0</v>
      </c>
      <c r="R642" s="321" t="str">
        <f t="shared" si="385"/>
        <v/>
      </c>
      <c r="S642" s="319" t="s">
        <v>229</v>
      </c>
    </row>
    <row r="643" spans="1:19" ht="12" hidden="1" customHeight="1" x14ac:dyDescent="0.35">
      <c r="A643" s="235"/>
      <c r="B643" s="445"/>
      <c r="C643" s="445" t="str">
        <f t="shared" ca="1" si="379"/>
        <v/>
      </c>
      <c r="D643" s="1118"/>
      <c r="E643" s="324" t="s">
        <v>5178</v>
      </c>
      <c r="F643" s="971">
        <f t="shared" ref="F643:Q643" ca="1" si="392">IF(OR(AND(F$5=0,NoZeroCol=1),AND(F$5=-99,NoResCol=1)),0,OFFSET($E454,0,F$8))</f>
        <v>0</v>
      </c>
      <c r="G643" s="1026">
        <f t="shared" ca="1" si="392"/>
        <v>0</v>
      </c>
      <c r="H643" s="1026">
        <f t="shared" ca="1" si="392"/>
        <v>0</v>
      </c>
      <c r="I643" s="1026">
        <f t="shared" ca="1" si="392"/>
        <v>0</v>
      </c>
      <c r="J643" s="1026">
        <f t="shared" ca="1" si="392"/>
        <v>0</v>
      </c>
      <c r="K643" s="1026">
        <f t="shared" ca="1" si="392"/>
        <v>0</v>
      </c>
      <c r="L643" s="1026">
        <f t="shared" ca="1" si="392"/>
        <v>0</v>
      </c>
      <c r="M643" s="1026">
        <f t="shared" ref="M643:N643" ca="1" si="393">IF(OR(AND(M$5=0,NoZeroCol=1),AND(M$5=-99,NoResCol=1)),0,OFFSET($E454,0,M$8))</f>
        <v>0</v>
      </c>
      <c r="N643" s="1026">
        <f t="shared" ca="1" si="393"/>
        <v>0</v>
      </c>
      <c r="O643" s="1026">
        <f t="shared" ref="O643:P643" ca="1" si="394">IF(OR(AND(O$5=0,NoZeroCol=1),AND(O$5=-99,NoResCol=1)),0,OFFSET($E454,0,O$8))</f>
        <v>0</v>
      </c>
      <c r="P643" s="1026">
        <f t="shared" ca="1" si="394"/>
        <v>0</v>
      </c>
      <c r="Q643" s="1256">
        <f t="shared" ca="1" si="392"/>
        <v>0</v>
      </c>
      <c r="R643" s="321" t="str">
        <f t="shared" si="385"/>
        <v/>
      </c>
      <c r="S643" s="319" t="s">
        <v>229</v>
      </c>
    </row>
    <row r="644" spans="1:19" ht="12" hidden="1" customHeight="1" x14ac:dyDescent="0.35">
      <c r="A644" s="235"/>
      <c r="B644" s="445"/>
      <c r="C644" s="524" t="str">
        <f t="shared" ca="1" si="379"/>
        <v/>
      </c>
      <c r="D644" s="1125"/>
      <c r="E644" s="385" t="s">
        <v>5185</v>
      </c>
      <c r="F644" s="961">
        <f t="shared" ref="F644:Q644" ca="1" si="395">IF(OR(AND(F$5=0,NoZeroCol=1),AND(F$5=-99,NoResCol=1)),0,OFFSET($E455,0,F$8))</f>
        <v>0</v>
      </c>
      <c r="G644" s="1058">
        <f t="shared" ca="1" si="395"/>
        <v>0</v>
      </c>
      <c r="H644" s="1058">
        <f t="shared" ca="1" si="395"/>
        <v>0</v>
      </c>
      <c r="I644" s="1058">
        <f t="shared" ca="1" si="395"/>
        <v>0</v>
      </c>
      <c r="J644" s="1058">
        <f t="shared" ca="1" si="395"/>
        <v>0</v>
      </c>
      <c r="K644" s="1058">
        <f t="shared" ca="1" si="395"/>
        <v>0</v>
      </c>
      <c r="L644" s="1058">
        <f t="shared" ca="1" si="395"/>
        <v>0</v>
      </c>
      <c r="M644" s="1058">
        <f t="shared" ref="M644:N644" ca="1" si="396">IF(OR(AND(M$5=0,NoZeroCol=1),AND(M$5=-99,NoResCol=1)),0,OFFSET($E455,0,M$8))</f>
        <v>0</v>
      </c>
      <c r="N644" s="1058">
        <f t="shared" ca="1" si="396"/>
        <v>0</v>
      </c>
      <c r="O644" s="1058">
        <f t="shared" ref="O644:P644" ca="1" si="397">IF(OR(AND(O$5=0,NoZeroCol=1),AND(O$5=-99,NoResCol=1)),0,OFFSET($E455,0,O$8))</f>
        <v>0</v>
      </c>
      <c r="P644" s="1058">
        <f t="shared" ca="1" si="397"/>
        <v>0</v>
      </c>
      <c r="Q644" s="1258">
        <f t="shared" ca="1" si="395"/>
        <v>0</v>
      </c>
      <c r="R644" s="321" t="str">
        <f t="shared" si="385"/>
        <v/>
      </c>
      <c r="S644" s="319" t="s">
        <v>229</v>
      </c>
    </row>
    <row r="645" spans="1:19" ht="12" customHeight="1" x14ac:dyDescent="0.35">
      <c r="A645" s="235"/>
      <c r="B645" s="445"/>
      <c r="C645" s="434" t="s">
        <v>821</v>
      </c>
      <c r="D645" s="1118"/>
      <c r="E645" s="324" t="s">
        <v>999</v>
      </c>
      <c r="F645" s="971">
        <f t="shared" ref="F645:Q645" ca="1" si="398">F459</f>
        <v>0</v>
      </c>
      <c r="G645" s="1026">
        <f t="shared" ca="1" si="398"/>
        <v>0</v>
      </c>
      <c r="H645" s="1026">
        <f t="shared" ca="1" si="398"/>
        <v>-661500</v>
      </c>
      <c r="I645" s="1026">
        <f t="shared" ca="1" si="398"/>
        <v>-672782.24631787033</v>
      </c>
      <c r="J645" s="1026">
        <f t="shared" ca="1" si="398"/>
        <v>-684256.91755180596</v>
      </c>
      <c r="K645" s="1026">
        <f t="shared" ca="1" si="398"/>
        <v>-695927.29561458167</v>
      </c>
      <c r="L645" s="1026">
        <f t="shared" ca="1" si="398"/>
        <v>-10230131.245534351</v>
      </c>
      <c r="M645" s="1026">
        <f t="shared" ref="M645:N645" ca="1" si="399">M459</f>
        <v>-12531910.775779577</v>
      </c>
      <c r="N645" s="1026">
        <f t="shared" ca="1" si="399"/>
        <v>-15351590.700329984</v>
      </c>
      <c r="O645" s="1026">
        <f t="shared" ref="O645:P645" ca="1" si="400">O459</f>
        <v>-18805698.607904229</v>
      </c>
      <c r="P645" s="1026">
        <f t="shared" ca="1" si="400"/>
        <v>-23036980.794682682</v>
      </c>
      <c r="Q645" s="1256">
        <f t="shared" ca="1" si="398"/>
        <v>0</v>
      </c>
      <c r="R645" s="321"/>
      <c r="S645" s="319" t="s">
        <v>71</v>
      </c>
    </row>
    <row r="646" spans="1:19" ht="12" hidden="1" customHeight="1" x14ac:dyDescent="0.35">
      <c r="A646" s="235"/>
      <c r="B646" s="445"/>
      <c r="C646" s="523" t="str">
        <f ca="1">""&amp;OFFSET($E460,0,-2)</f>
        <v>Raw materials and consumables</v>
      </c>
      <c r="D646" s="1117"/>
      <c r="E646" s="380" t="s">
        <v>1000</v>
      </c>
      <c r="F646" s="959">
        <f t="shared" ref="F646:L646" ca="1" si="401">IF(OR(AND(F$5=0,NoZeroCol=1),AND(F$5=-99,NoResCol=1)),0,OFFSET($E460,0,F$8))</f>
        <v>0</v>
      </c>
      <c r="G646" s="1055">
        <f t="shared" ca="1" si="401"/>
        <v>0</v>
      </c>
      <c r="H646" s="1055">
        <f t="shared" ca="1" si="401"/>
        <v>-661500</v>
      </c>
      <c r="I646" s="1055">
        <f t="shared" ca="1" si="401"/>
        <v>-672782.24631787033</v>
      </c>
      <c r="J646" s="1055">
        <f t="shared" ca="1" si="401"/>
        <v>-684256.91755180596</v>
      </c>
      <c r="K646" s="1055">
        <f t="shared" ca="1" si="401"/>
        <v>-695927.29561458167</v>
      </c>
      <c r="L646" s="1055">
        <f t="shared" ca="1" si="401"/>
        <v>-10230131.245534351</v>
      </c>
      <c r="M646" s="1055">
        <f t="shared" ref="M646:N646" ca="1" si="402">IF(OR(AND(M$5=0,NoZeroCol=1),AND(M$5=-99,NoResCol=1)),0,OFFSET($E460,0,M$8))</f>
        <v>-12531910.775779577</v>
      </c>
      <c r="N646" s="1055">
        <f t="shared" ca="1" si="402"/>
        <v>-15351590.700329984</v>
      </c>
      <c r="O646" s="1055">
        <f t="shared" ref="O646:P646" ca="1" si="403">IF(OR(AND(O$5=0,NoZeroCol=1),AND(O$5=-99,NoResCol=1)),0,OFFSET($E460,0,O$8))</f>
        <v>-18805698.607904229</v>
      </c>
      <c r="P646" s="1055">
        <f t="shared" ca="1" si="403"/>
        <v>-23036980.794682682</v>
      </c>
      <c r="Q646" s="1262">
        <f ca="1">IF(OR(AND(Q$5=0,NoZeroCol=1),AND(Q$5=-99,NoResCol=1)),0,OFFSET($E460,0,Q$8))</f>
        <v>0</v>
      </c>
      <c r="R646" s="321" t="str">
        <f>R460</f>
        <v/>
      </c>
      <c r="S646" s="319" t="s">
        <v>82</v>
      </c>
    </row>
    <row r="647" spans="1:19" ht="12" hidden="1" customHeight="1" x14ac:dyDescent="0.35">
      <c r="A647" s="235"/>
      <c r="B647" s="445"/>
      <c r="C647" s="445" t="str">
        <f t="shared" ref="C647:C655" ca="1" si="404">""&amp;OFFSET($E463,0,-2)</f>
        <v>External charges</v>
      </c>
      <c r="D647" s="1118"/>
      <c r="E647" s="324" t="s">
        <v>1001</v>
      </c>
      <c r="F647" s="971">
        <f t="shared" ref="F647:Q650" ca="1" si="405">IF(OR(AND(F$5=0,NoZeroCol=1),AND(F$5=-99,NoResCol=1)),0,OFFSET($E463,0,F$8))</f>
        <v>0</v>
      </c>
      <c r="G647" s="1026">
        <f t="shared" ca="1" si="405"/>
        <v>0</v>
      </c>
      <c r="H647" s="1026">
        <f t="shared" ca="1" si="405"/>
        <v>0</v>
      </c>
      <c r="I647" s="1026">
        <f t="shared" ca="1" si="405"/>
        <v>0</v>
      </c>
      <c r="J647" s="1026">
        <f t="shared" ca="1" si="405"/>
        <v>0</v>
      </c>
      <c r="K647" s="1026">
        <f t="shared" ca="1" si="405"/>
        <v>0</v>
      </c>
      <c r="L647" s="1026">
        <f t="shared" ca="1" si="405"/>
        <v>0</v>
      </c>
      <c r="M647" s="1026">
        <f t="shared" ref="M647:N647" ca="1" si="406">IF(OR(AND(M$5=0,NoZeroCol=1),AND(M$5=-99,NoResCol=1)),0,OFFSET($E463,0,M$8))</f>
        <v>0</v>
      </c>
      <c r="N647" s="1026">
        <f t="shared" ca="1" si="406"/>
        <v>0</v>
      </c>
      <c r="O647" s="1026">
        <f t="shared" ref="O647:P647" ca="1" si="407">IF(OR(AND(O$5=0,NoZeroCol=1),AND(O$5=-99,NoResCol=1)),0,OFFSET($E463,0,O$8))</f>
        <v>0</v>
      </c>
      <c r="P647" s="1026">
        <f t="shared" ca="1" si="407"/>
        <v>0</v>
      </c>
      <c r="Q647" s="1256">
        <f t="shared" ca="1" si="405"/>
        <v>0</v>
      </c>
      <c r="R647" s="321" t="str">
        <f t="shared" ref="R647:R655" si="408">R463</f>
        <v/>
      </c>
      <c r="S647" s="319" t="s">
        <v>82</v>
      </c>
    </row>
    <row r="648" spans="1:19" ht="12" hidden="1" customHeight="1" x14ac:dyDescent="0.35">
      <c r="A648" s="235"/>
      <c r="B648" s="445"/>
      <c r="C648" s="445" t="str">
        <f t="shared" ca="1" si="404"/>
        <v>Staff costs</v>
      </c>
      <c r="D648" s="1118"/>
      <c r="E648" s="324" t="s">
        <v>1002</v>
      </c>
      <c r="F648" s="971">
        <f t="shared" ca="1" si="405"/>
        <v>0</v>
      </c>
      <c r="G648" s="1026">
        <f t="shared" ca="1" si="405"/>
        <v>0</v>
      </c>
      <c r="H648" s="1026">
        <f t="shared" ca="1" si="405"/>
        <v>0</v>
      </c>
      <c r="I648" s="1026">
        <f t="shared" ca="1" si="405"/>
        <v>0</v>
      </c>
      <c r="J648" s="1026">
        <f t="shared" ca="1" si="405"/>
        <v>0</v>
      </c>
      <c r="K648" s="1026">
        <f t="shared" ca="1" si="405"/>
        <v>0</v>
      </c>
      <c r="L648" s="1026">
        <f t="shared" ca="1" si="405"/>
        <v>0</v>
      </c>
      <c r="M648" s="1026">
        <f t="shared" ref="M648:N648" ca="1" si="409">IF(OR(AND(M$5=0,NoZeroCol=1),AND(M$5=-99,NoResCol=1)),0,OFFSET($E464,0,M$8))</f>
        <v>0</v>
      </c>
      <c r="N648" s="1026">
        <f t="shared" ca="1" si="409"/>
        <v>0</v>
      </c>
      <c r="O648" s="1026">
        <f t="shared" ref="O648:P648" ca="1" si="410">IF(OR(AND(O$5=0,NoZeroCol=1),AND(O$5=-99,NoResCol=1)),0,OFFSET($E464,0,O$8))</f>
        <v>0</v>
      </c>
      <c r="P648" s="1026">
        <f t="shared" ca="1" si="410"/>
        <v>0</v>
      </c>
      <c r="Q648" s="1256">
        <f t="shared" ca="1" si="405"/>
        <v>0</v>
      </c>
      <c r="R648" s="321" t="str">
        <f t="shared" si="408"/>
        <v/>
      </c>
      <c r="S648" s="319" t="s">
        <v>82</v>
      </c>
    </row>
    <row r="649" spans="1:19" ht="12" hidden="1" customHeight="1" x14ac:dyDescent="0.35">
      <c r="A649" s="235"/>
      <c r="B649" s="445"/>
      <c r="C649" s="445" t="str">
        <f t="shared" ca="1" si="404"/>
        <v>Other variable costs</v>
      </c>
      <c r="D649" s="1118"/>
      <c r="E649" s="324" t="s">
        <v>1003</v>
      </c>
      <c r="F649" s="971">
        <f t="shared" ca="1" si="405"/>
        <v>0</v>
      </c>
      <c r="G649" s="1026">
        <f t="shared" ca="1" si="405"/>
        <v>0</v>
      </c>
      <c r="H649" s="1026">
        <f t="shared" ca="1" si="405"/>
        <v>0</v>
      </c>
      <c r="I649" s="1026">
        <f t="shared" ca="1" si="405"/>
        <v>0</v>
      </c>
      <c r="J649" s="1026">
        <f t="shared" ca="1" si="405"/>
        <v>0</v>
      </c>
      <c r="K649" s="1026">
        <f t="shared" ca="1" si="405"/>
        <v>0</v>
      </c>
      <c r="L649" s="1026">
        <f t="shared" ca="1" si="405"/>
        <v>0</v>
      </c>
      <c r="M649" s="1026">
        <f t="shared" ref="M649:N649" ca="1" si="411">IF(OR(AND(M$5=0,NoZeroCol=1),AND(M$5=-99,NoResCol=1)),0,OFFSET($E465,0,M$8))</f>
        <v>0</v>
      </c>
      <c r="N649" s="1026">
        <f t="shared" ca="1" si="411"/>
        <v>0</v>
      </c>
      <c r="O649" s="1026">
        <f t="shared" ref="O649:P649" ca="1" si="412">IF(OR(AND(O$5=0,NoZeroCol=1),AND(O$5=-99,NoResCol=1)),0,OFFSET($E465,0,O$8))</f>
        <v>0</v>
      </c>
      <c r="P649" s="1026">
        <f t="shared" ca="1" si="412"/>
        <v>0</v>
      </c>
      <c r="Q649" s="1256">
        <f t="shared" ca="1" si="405"/>
        <v>0</v>
      </c>
      <c r="R649" s="321" t="str">
        <f t="shared" si="408"/>
        <v/>
      </c>
      <c r="S649" s="319" t="s">
        <v>82</v>
      </c>
    </row>
    <row r="650" spans="1:19" ht="12" hidden="1" customHeight="1" x14ac:dyDescent="0.35">
      <c r="A650" s="235"/>
      <c r="B650" s="445"/>
      <c r="C650" s="445" t="str">
        <f t="shared" ca="1" si="404"/>
        <v/>
      </c>
      <c r="D650" s="1118"/>
      <c r="E650" s="324" t="s">
        <v>1004</v>
      </c>
      <c r="F650" s="971">
        <f t="shared" ca="1" si="405"/>
        <v>0</v>
      </c>
      <c r="G650" s="1026">
        <f t="shared" ca="1" si="405"/>
        <v>0</v>
      </c>
      <c r="H650" s="1026">
        <f t="shared" ca="1" si="405"/>
        <v>0</v>
      </c>
      <c r="I650" s="1026">
        <f t="shared" ca="1" si="405"/>
        <v>0</v>
      </c>
      <c r="J650" s="1026">
        <f t="shared" ca="1" si="405"/>
        <v>0</v>
      </c>
      <c r="K650" s="1026">
        <f t="shared" ca="1" si="405"/>
        <v>0</v>
      </c>
      <c r="L650" s="1026">
        <f t="shared" ca="1" si="405"/>
        <v>0</v>
      </c>
      <c r="M650" s="1026">
        <f t="shared" ref="M650:N650" ca="1" si="413">IF(OR(AND(M$5=0,NoZeroCol=1),AND(M$5=-99,NoResCol=1)),0,OFFSET($E466,0,M$8))</f>
        <v>0</v>
      </c>
      <c r="N650" s="1026">
        <f t="shared" ca="1" si="413"/>
        <v>0</v>
      </c>
      <c r="O650" s="1026">
        <f t="shared" ref="O650:P650" ca="1" si="414">IF(OR(AND(O$5=0,NoZeroCol=1),AND(O$5=-99,NoResCol=1)),0,OFFSET($E466,0,O$8))</f>
        <v>0</v>
      </c>
      <c r="P650" s="1026">
        <f t="shared" ca="1" si="414"/>
        <v>0</v>
      </c>
      <c r="Q650" s="1256">
        <f t="shared" ca="1" si="405"/>
        <v>0</v>
      </c>
      <c r="R650" s="321" t="str">
        <f t="shared" si="408"/>
        <v/>
      </c>
      <c r="S650" s="319" t="s">
        <v>229</v>
      </c>
    </row>
    <row r="651" spans="1:19" ht="12" hidden="1" customHeight="1" x14ac:dyDescent="0.35">
      <c r="A651" s="235"/>
      <c r="B651" s="445"/>
      <c r="C651" s="445" t="str">
        <f t="shared" ca="1" si="404"/>
        <v/>
      </c>
      <c r="D651" s="1118"/>
      <c r="E651" s="324" t="s">
        <v>1005</v>
      </c>
      <c r="F651" s="971">
        <f t="shared" ref="F651:Q651" ca="1" si="415">IF(OR(AND(F$5=0,NoZeroCol=1),AND(F$5=-99,NoResCol=1)),0,OFFSET($E467,0,F$8))</f>
        <v>0</v>
      </c>
      <c r="G651" s="1026">
        <f t="shared" ca="1" si="415"/>
        <v>0</v>
      </c>
      <c r="H651" s="1026">
        <f t="shared" ca="1" si="415"/>
        <v>0</v>
      </c>
      <c r="I651" s="1026">
        <f t="shared" ca="1" si="415"/>
        <v>0</v>
      </c>
      <c r="J651" s="1026">
        <f t="shared" ca="1" si="415"/>
        <v>0</v>
      </c>
      <c r="K651" s="1026">
        <f t="shared" ca="1" si="415"/>
        <v>0</v>
      </c>
      <c r="L651" s="1026">
        <f t="shared" ca="1" si="415"/>
        <v>0</v>
      </c>
      <c r="M651" s="1026">
        <f t="shared" ref="M651:N651" ca="1" si="416">IF(OR(AND(M$5=0,NoZeroCol=1),AND(M$5=-99,NoResCol=1)),0,OFFSET($E467,0,M$8))</f>
        <v>0</v>
      </c>
      <c r="N651" s="1026">
        <f t="shared" ca="1" si="416"/>
        <v>0</v>
      </c>
      <c r="O651" s="1026">
        <f t="shared" ref="O651:P651" ca="1" si="417">IF(OR(AND(O$5=0,NoZeroCol=1),AND(O$5=-99,NoResCol=1)),0,OFFSET($E467,0,O$8))</f>
        <v>0</v>
      </c>
      <c r="P651" s="1026">
        <f t="shared" ca="1" si="417"/>
        <v>0</v>
      </c>
      <c r="Q651" s="1256">
        <f t="shared" ca="1" si="415"/>
        <v>0</v>
      </c>
      <c r="R651" s="321" t="str">
        <f t="shared" si="408"/>
        <v/>
      </c>
      <c r="S651" s="319" t="s">
        <v>229</v>
      </c>
    </row>
    <row r="652" spans="1:19" ht="12" hidden="1" customHeight="1" x14ac:dyDescent="0.35">
      <c r="A652" s="235"/>
      <c r="B652" s="445"/>
      <c r="C652" s="445" t="str">
        <f t="shared" ca="1" si="404"/>
        <v/>
      </c>
      <c r="D652" s="1118"/>
      <c r="E652" s="324" t="s">
        <v>5179</v>
      </c>
      <c r="F652" s="971">
        <f t="shared" ref="F652:Q652" ca="1" si="418">IF(OR(AND(F$5=0,NoZeroCol=1),AND(F$5=-99,NoResCol=1)),0,OFFSET($E468,0,F$8))</f>
        <v>0</v>
      </c>
      <c r="G652" s="1026">
        <f t="shared" ca="1" si="418"/>
        <v>0</v>
      </c>
      <c r="H652" s="1026">
        <f t="shared" ca="1" si="418"/>
        <v>0</v>
      </c>
      <c r="I652" s="1026">
        <f t="shared" ca="1" si="418"/>
        <v>0</v>
      </c>
      <c r="J652" s="1026">
        <f t="shared" ca="1" si="418"/>
        <v>0</v>
      </c>
      <c r="K652" s="1026">
        <f t="shared" ca="1" si="418"/>
        <v>0</v>
      </c>
      <c r="L652" s="1026">
        <f t="shared" ca="1" si="418"/>
        <v>0</v>
      </c>
      <c r="M652" s="1026">
        <f t="shared" ref="M652:N652" ca="1" si="419">IF(OR(AND(M$5=0,NoZeroCol=1),AND(M$5=-99,NoResCol=1)),0,OFFSET($E468,0,M$8))</f>
        <v>0</v>
      </c>
      <c r="N652" s="1026">
        <f t="shared" ca="1" si="419"/>
        <v>0</v>
      </c>
      <c r="O652" s="1026">
        <f t="shared" ref="O652:P652" ca="1" si="420">IF(OR(AND(O$5=0,NoZeroCol=1),AND(O$5=-99,NoResCol=1)),0,OFFSET($E468,0,O$8))</f>
        <v>0</v>
      </c>
      <c r="P652" s="1026">
        <f t="shared" ca="1" si="420"/>
        <v>0</v>
      </c>
      <c r="Q652" s="1256">
        <f t="shared" ca="1" si="418"/>
        <v>0</v>
      </c>
      <c r="R652" s="321" t="str">
        <f t="shared" si="408"/>
        <v/>
      </c>
      <c r="S652" s="319" t="s">
        <v>229</v>
      </c>
    </row>
    <row r="653" spans="1:19" ht="12" hidden="1" customHeight="1" x14ac:dyDescent="0.35">
      <c r="A653" s="235"/>
      <c r="B653" s="445"/>
      <c r="C653" s="445" t="str">
        <f t="shared" ca="1" si="404"/>
        <v/>
      </c>
      <c r="D653" s="1118"/>
      <c r="E653" s="324" t="s">
        <v>5180</v>
      </c>
      <c r="F653" s="971">
        <f t="shared" ref="F653:Q653" ca="1" si="421">IF(OR(AND(F$5=0,NoZeroCol=1),AND(F$5=-99,NoResCol=1)),0,OFFSET($E469,0,F$8))</f>
        <v>0</v>
      </c>
      <c r="G653" s="1026">
        <f t="shared" ca="1" si="421"/>
        <v>0</v>
      </c>
      <c r="H653" s="1026">
        <f t="shared" ca="1" si="421"/>
        <v>0</v>
      </c>
      <c r="I653" s="1026">
        <f t="shared" ca="1" si="421"/>
        <v>0</v>
      </c>
      <c r="J653" s="1026">
        <f t="shared" ca="1" si="421"/>
        <v>0</v>
      </c>
      <c r="K653" s="1026">
        <f t="shared" ca="1" si="421"/>
        <v>0</v>
      </c>
      <c r="L653" s="1026">
        <f t="shared" ca="1" si="421"/>
        <v>0</v>
      </c>
      <c r="M653" s="1026">
        <f t="shared" ref="M653:N653" ca="1" si="422">IF(OR(AND(M$5=0,NoZeroCol=1),AND(M$5=-99,NoResCol=1)),0,OFFSET($E469,0,M$8))</f>
        <v>0</v>
      </c>
      <c r="N653" s="1026">
        <f t="shared" ca="1" si="422"/>
        <v>0</v>
      </c>
      <c r="O653" s="1026">
        <f t="shared" ref="O653:P653" ca="1" si="423">IF(OR(AND(O$5=0,NoZeroCol=1),AND(O$5=-99,NoResCol=1)),0,OFFSET($E469,0,O$8))</f>
        <v>0</v>
      </c>
      <c r="P653" s="1026">
        <f t="shared" ca="1" si="423"/>
        <v>0</v>
      </c>
      <c r="Q653" s="1256">
        <f t="shared" ca="1" si="421"/>
        <v>0</v>
      </c>
      <c r="R653" s="321" t="str">
        <f t="shared" si="408"/>
        <v/>
      </c>
      <c r="S653" s="319" t="s">
        <v>229</v>
      </c>
    </row>
    <row r="654" spans="1:19" ht="12" hidden="1" customHeight="1" x14ac:dyDescent="0.35">
      <c r="A654" s="235"/>
      <c r="B654" s="445"/>
      <c r="C654" s="445" t="str">
        <f t="shared" ca="1" si="404"/>
        <v/>
      </c>
      <c r="D654" s="1118"/>
      <c r="E654" s="324" t="s">
        <v>5181</v>
      </c>
      <c r="F654" s="971">
        <f t="shared" ref="F654:Q654" ca="1" si="424">IF(OR(AND(F$5=0,NoZeroCol=1),AND(F$5=-99,NoResCol=1)),0,OFFSET($E470,0,F$8))</f>
        <v>0</v>
      </c>
      <c r="G654" s="1026">
        <f t="shared" ca="1" si="424"/>
        <v>0</v>
      </c>
      <c r="H654" s="1026">
        <f t="shared" ca="1" si="424"/>
        <v>0</v>
      </c>
      <c r="I654" s="1026">
        <f t="shared" ca="1" si="424"/>
        <v>0</v>
      </c>
      <c r="J654" s="1026">
        <f t="shared" ca="1" si="424"/>
        <v>0</v>
      </c>
      <c r="K654" s="1026">
        <f t="shared" ca="1" si="424"/>
        <v>0</v>
      </c>
      <c r="L654" s="1026">
        <f t="shared" ca="1" si="424"/>
        <v>0</v>
      </c>
      <c r="M654" s="1026">
        <f t="shared" ref="M654:N654" ca="1" si="425">IF(OR(AND(M$5=0,NoZeroCol=1),AND(M$5=-99,NoResCol=1)),0,OFFSET($E470,0,M$8))</f>
        <v>0</v>
      </c>
      <c r="N654" s="1026">
        <f t="shared" ca="1" si="425"/>
        <v>0</v>
      </c>
      <c r="O654" s="1026">
        <f t="shared" ref="O654:P654" ca="1" si="426">IF(OR(AND(O$5=0,NoZeroCol=1),AND(O$5=-99,NoResCol=1)),0,OFFSET($E470,0,O$8))</f>
        <v>0</v>
      </c>
      <c r="P654" s="1026">
        <f t="shared" ca="1" si="426"/>
        <v>0</v>
      </c>
      <c r="Q654" s="1256">
        <f t="shared" ca="1" si="424"/>
        <v>0</v>
      </c>
      <c r="R654" s="321" t="str">
        <f t="shared" si="408"/>
        <v/>
      </c>
      <c r="S654" s="319" t="s">
        <v>229</v>
      </c>
    </row>
    <row r="655" spans="1:19" ht="12" hidden="1" customHeight="1" x14ac:dyDescent="0.35">
      <c r="A655" s="235"/>
      <c r="B655" s="445"/>
      <c r="C655" s="524" t="str">
        <f t="shared" ca="1" si="404"/>
        <v/>
      </c>
      <c r="D655" s="1125"/>
      <c r="E655" s="324" t="s">
        <v>5186</v>
      </c>
      <c r="F655" s="961">
        <f t="shared" ref="F655:Q655" ca="1" si="427">IF(OR(AND(F$5=0,NoZeroCol=1),AND(F$5=-99,NoResCol=1)),0,OFFSET($E471,0,F$8))</f>
        <v>0</v>
      </c>
      <c r="G655" s="1058">
        <f t="shared" ca="1" si="427"/>
        <v>0</v>
      </c>
      <c r="H655" s="1058">
        <f t="shared" ca="1" si="427"/>
        <v>0</v>
      </c>
      <c r="I655" s="1058">
        <f t="shared" ca="1" si="427"/>
        <v>0</v>
      </c>
      <c r="J655" s="1058">
        <f t="shared" ca="1" si="427"/>
        <v>0</v>
      </c>
      <c r="K655" s="1058">
        <f t="shared" ca="1" si="427"/>
        <v>0</v>
      </c>
      <c r="L655" s="1058">
        <f t="shared" ca="1" si="427"/>
        <v>0</v>
      </c>
      <c r="M655" s="1058">
        <f t="shared" ref="M655:N655" ca="1" si="428">IF(OR(AND(M$5=0,NoZeroCol=1),AND(M$5=-99,NoResCol=1)),0,OFFSET($E471,0,M$8))</f>
        <v>0</v>
      </c>
      <c r="N655" s="1058">
        <f t="shared" ca="1" si="428"/>
        <v>0</v>
      </c>
      <c r="O655" s="1058">
        <f t="shared" ref="O655:P655" ca="1" si="429">IF(OR(AND(O$5=0,NoZeroCol=1),AND(O$5=-99,NoResCol=1)),0,OFFSET($E471,0,O$8))</f>
        <v>0</v>
      </c>
      <c r="P655" s="1058">
        <f t="shared" ca="1" si="429"/>
        <v>0</v>
      </c>
      <c r="Q655" s="1258">
        <f t="shared" ca="1" si="427"/>
        <v>0</v>
      </c>
      <c r="R655" s="321" t="str">
        <f t="shared" si="408"/>
        <v/>
      </c>
      <c r="S655" s="319" t="s">
        <v>229</v>
      </c>
    </row>
    <row r="656" spans="1:19" ht="12" customHeight="1" x14ac:dyDescent="0.35">
      <c r="A656" s="235"/>
      <c r="B656" s="445"/>
      <c r="C656" s="434" t="s">
        <v>837</v>
      </c>
      <c r="D656" s="1118"/>
      <c r="E656" s="324" t="s">
        <v>1006</v>
      </c>
      <c r="F656" s="971">
        <f t="shared" ref="F656:Q656" ca="1" si="430">F475</f>
        <v>0</v>
      </c>
      <c r="G656" s="1026">
        <f t="shared" ca="1" si="430"/>
        <v>0</v>
      </c>
      <c r="H656" s="1026">
        <f t="shared" ca="1" si="430"/>
        <v>-200000</v>
      </c>
      <c r="I656" s="1026">
        <f t="shared" ca="1" si="430"/>
        <v>-200000</v>
      </c>
      <c r="J656" s="1026">
        <f t="shared" ca="1" si="430"/>
        <v>-200000</v>
      </c>
      <c r="K656" s="1026">
        <f t="shared" ca="1" si="430"/>
        <v>-200000</v>
      </c>
      <c r="L656" s="1026">
        <f t="shared" ca="1" si="430"/>
        <v>-2400000</v>
      </c>
      <c r="M656" s="1026">
        <f t="shared" ref="M656:N656" ca="1" si="431">M475</f>
        <v>-2400000</v>
      </c>
      <c r="N656" s="1026">
        <f t="shared" ca="1" si="431"/>
        <v>-2400000</v>
      </c>
      <c r="O656" s="1026">
        <f t="shared" ref="O656:P656" ca="1" si="432">O475</f>
        <v>-2400000</v>
      </c>
      <c r="P656" s="1026">
        <f t="shared" ca="1" si="432"/>
        <v>-2400000</v>
      </c>
      <c r="Q656" s="1256">
        <f t="shared" ca="1" si="430"/>
        <v>0</v>
      </c>
      <c r="R656" s="321"/>
      <c r="S656" s="319" t="s">
        <v>71</v>
      </c>
    </row>
    <row r="657" spans="1:19" ht="12" hidden="1" customHeight="1" x14ac:dyDescent="0.35">
      <c r="A657" s="235"/>
      <c r="B657" s="445"/>
      <c r="C657" s="523" t="str">
        <f t="shared" ref="C657:C666" ca="1" si="433">""&amp;OFFSET($E476,0,-2)</f>
        <v>Staff costs</v>
      </c>
      <c r="D657" s="1117"/>
      <c r="E657" s="380" t="s">
        <v>1007</v>
      </c>
      <c r="F657" s="959">
        <f t="shared" ref="F657:Q661" ca="1" si="434">IF(OR(AND(F$5=0,NoZeroCol=1),AND(F$5=-99,NoResCol=1)),0,OFFSET($E476,0,F$8))</f>
        <v>0</v>
      </c>
      <c r="G657" s="1055">
        <f t="shared" ca="1" si="434"/>
        <v>0</v>
      </c>
      <c r="H657" s="1055">
        <f t="shared" ca="1" si="434"/>
        <v>0</v>
      </c>
      <c r="I657" s="1055">
        <f t="shared" ca="1" si="434"/>
        <v>0</v>
      </c>
      <c r="J657" s="1055">
        <f t="shared" ca="1" si="434"/>
        <v>0</v>
      </c>
      <c r="K657" s="1055">
        <f t="shared" ca="1" si="434"/>
        <v>0</v>
      </c>
      <c r="L657" s="1055">
        <f t="shared" ca="1" si="434"/>
        <v>0</v>
      </c>
      <c r="M657" s="1055">
        <f t="shared" ref="M657:N657" ca="1" si="435">IF(OR(AND(M$5=0,NoZeroCol=1),AND(M$5=-99,NoResCol=1)),0,OFFSET($E476,0,M$8))</f>
        <v>0</v>
      </c>
      <c r="N657" s="1055">
        <f t="shared" ca="1" si="435"/>
        <v>0</v>
      </c>
      <c r="O657" s="1055">
        <f t="shared" ref="O657:P657" ca="1" si="436">IF(OR(AND(O$5=0,NoZeroCol=1),AND(O$5=-99,NoResCol=1)),0,OFFSET($E476,0,O$8))</f>
        <v>0</v>
      </c>
      <c r="P657" s="1055">
        <f t="shared" ca="1" si="436"/>
        <v>0</v>
      </c>
      <c r="Q657" s="1262">
        <f t="shared" ca="1" si="434"/>
        <v>0</v>
      </c>
      <c r="R657" s="321" t="str">
        <f t="shared" ref="R657:R666" si="437">R476</f>
        <v/>
      </c>
      <c r="S657" s="319" t="s">
        <v>82</v>
      </c>
    </row>
    <row r="658" spans="1:19" ht="12" hidden="1" customHeight="1" x14ac:dyDescent="0.35">
      <c r="A658" s="235"/>
      <c r="B658" s="445"/>
      <c r="C658" s="445" t="str">
        <f t="shared" ca="1" si="433"/>
        <v>Rents</v>
      </c>
      <c r="D658" s="1118"/>
      <c r="E658" s="324" t="s">
        <v>1008</v>
      </c>
      <c r="F658" s="971">
        <f t="shared" ca="1" si="434"/>
        <v>0</v>
      </c>
      <c r="G658" s="1026">
        <f t="shared" ca="1" si="434"/>
        <v>0</v>
      </c>
      <c r="H658" s="1026">
        <f t="shared" ca="1" si="434"/>
        <v>0</v>
      </c>
      <c r="I658" s="1026">
        <f t="shared" ca="1" si="434"/>
        <v>0</v>
      </c>
      <c r="J658" s="1026">
        <f t="shared" ca="1" si="434"/>
        <v>0</v>
      </c>
      <c r="K658" s="1026">
        <f t="shared" ca="1" si="434"/>
        <v>0</v>
      </c>
      <c r="L658" s="1026">
        <f t="shared" ca="1" si="434"/>
        <v>0</v>
      </c>
      <c r="M658" s="1026">
        <f t="shared" ref="M658:N658" ca="1" si="438">IF(OR(AND(M$5=0,NoZeroCol=1),AND(M$5=-99,NoResCol=1)),0,OFFSET($E477,0,M$8))</f>
        <v>0</v>
      </c>
      <c r="N658" s="1026">
        <f t="shared" ca="1" si="438"/>
        <v>0</v>
      </c>
      <c r="O658" s="1026">
        <f t="shared" ref="O658:P658" ca="1" si="439">IF(OR(AND(O$5=0,NoZeroCol=1),AND(O$5=-99,NoResCol=1)),0,OFFSET($E477,0,O$8))</f>
        <v>0</v>
      </c>
      <c r="P658" s="1026">
        <f t="shared" ca="1" si="439"/>
        <v>0</v>
      </c>
      <c r="Q658" s="1256">
        <f t="shared" ca="1" si="434"/>
        <v>0</v>
      </c>
      <c r="R658" s="321" t="str">
        <f t="shared" si="437"/>
        <v/>
      </c>
      <c r="S658" s="319" t="s">
        <v>82</v>
      </c>
    </row>
    <row r="659" spans="1:19" ht="12" hidden="1" customHeight="1" x14ac:dyDescent="0.35">
      <c r="A659" s="235"/>
      <c r="B659" s="445"/>
      <c r="C659" s="445" t="str">
        <f t="shared" ca="1" si="433"/>
        <v>Other fixed costs</v>
      </c>
      <c r="D659" s="1118"/>
      <c r="E659" s="324" t="s">
        <v>1009</v>
      </c>
      <c r="F659" s="971">
        <f t="shared" ca="1" si="434"/>
        <v>0</v>
      </c>
      <c r="G659" s="1026">
        <f t="shared" ca="1" si="434"/>
        <v>0</v>
      </c>
      <c r="H659" s="1026">
        <f t="shared" ca="1" si="434"/>
        <v>-200000</v>
      </c>
      <c r="I659" s="1026">
        <f t="shared" ca="1" si="434"/>
        <v>-200000</v>
      </c>
      <c r="J659" s="1026">
        <f t="shared" ca="1" si="434"/>
        <v>-200000</v>
      </c>
      <c r="K659" s="1026">
        <f t="shared" ca="1" si="434"/>
        <v>-200000</v>
      </c>
      <c r="L659" s="1026">
        <f t="shared" ca="1" si="434"/>
        <v>-2400000</v>
      </c>
      <c r="M659" s="1026">
        <f t="shared" ref="M659:N659" ca="1" si="440">IF(OR(AND(M$5=0,NoZeroCol=1),AND(M$5=-99,NoResCol=1)),0,OFFSET($E478,0,M$8))</f>
        <v>-2400000</v>
      </c>
      <c r="N659" s="1026">
        <f t="shared" ca="1" si="440"/>
        <v>-2400000</v>
      </c>
      <c r="O659" s="1026">
        <f t="shared" ref="O659:P659" ca="1" si="441">IF(OR(AND(O$5=0,NoZeroCol=1),AND(O$5=-99,NoResCol=1)),0,OFFSET($E478,0,O$8))</f>
        <v>-2400000</v>
      </c>
      <c r="P659" s="1026">
        <f t="shared" ca="1" si="441"/>
        <v>-2400000</v>
      </c>
      <c r="Q659" s="1256">
        <f t="shared" ca="1" si="434"/>
        <v>0</v>
      </c>
      <c r="R659" s="321" t="str">
        <f t="shared" si="437"/>
        <v/>
      </c>
      <c r="S659" s="319" t="s">
        <v>82</v>
      </c>
    </row>
    <row r="660" spans="1:19" ht="12" hidden="1" customHeight="1" x14ac:dyDescent="0.35">
      <c r="A660" s="235"/>
      <c r="B660" s="445"/>
      <c r="C660" s="445" t="str">
        <f t="shared" ca="1" si="433"/>
        <v/>
      </c>
      <c r="D660" s="1118"/>
      <c r="E660" s="324" t="s">
        <v>1010</v>
      </c>
      <c r="F660" s="971">
        <f t="shared" ca="1" si="434"/>
        <v>0</v>
      </c>
      <c r="G660" s="1026">
        <f t="shared" ca="1" si="434"/>
        <v>0</v>
      </c>
      <c r="H660" s="1026">
        <f t="shared" ca="1" si="434"/>
        <v>0</v>
      </c>
      <c r="I660" s="1026">
        <f t="shared" ca="1" si="434"/>
        <v>0</v>
      </c>
      <c r="J660" s="1026">
        <f t="shared" ca="1" si="434"/>
        <v>0</v>
      </c>
      <c r="K660" s="1026">
        <f t="shared" ca="1" si="434"/>
        <v>0</v>
      </c>
      <c r="L660" s="1026">
        <f t="shared" ca="1" si="434"/>
        <v>0</v>
      </c>
      <c r="M660" s="1026">
        <f t="shared" ref="M660:N660" ca="1" si="442">IF(OR(AND(M$5=0,NoZeroCol=1),AND(M$5=-99,NoResCol=1)),0,OFFSET($E479,0,M$8))</f>
        <v>0</v>
      </c>
      <c r="N660" s="1026">
        <f t="shared" ca="1" si="442"/>
        <v>0</v>
      </c>
      <c r="O660" s="1026">
        <f t="shared" ref="O660:P660" ca="1" si="443">IF(OR(AND(O$5=0,NoZeroCol=1),AND(O$5=-99,NoResCol=1)),0,OFFSET($E479,0,O$8))</f>
        <v>0</v>
      </c>
      <c r="P660" s="1026">
        <f t="shared" ca="1" si="443"/>
        <v>0</v>
      </c>
      <c r="Q660" s="1256">
        <f t="shared" ca="1" si="434"/>
        <v>0</v>
      </c>
      <c r="R660" s="321" t="str">
        <f t="shared" si="437"/>
        <v/>
      </c>
      <c r="S660" s="319" t="s">
        <v>229</v>
      </c>
    </row>
    <row r="661" spans="1:19" ht="12" hidden="1" customHeight="1" x14ac:dyDescent="0.35">
      <c r="A661" s="235"/>
      <c r="B661" s="445"/>
      <c r="C661" s="445" t="str">
        <f t="shared" ca="1" si="433"/>
        <v/>
      </c>
      <c r="D661" s="1118"/>
      <c r="E661" s="324" t="s">
        <v>1011</v>
      </c>
      <c r="F661" s="971">
        <f t="shared" ca="1" si="434"/>
        <v>0</v>
      </c>
      <c r="G661" s="1026">
        <f t="shared" ca="1" si="434"/>
        <v>0</v>
      </c>
      <c r="H661" s="1026">
        <f t="shared" ca="1" si="434"/>
        <v>0</v>
      </c>
      <c r="I661" s="1026">
        <f t="shared" ca="1" si="434"/>
        <v>0</v>
      </c>
      <c r="J661" s="1026">
        <f t="shared" ca="1" si="434"/>
        <v>0</v>
      </c>
      <c r="K661" s="1026">
        <f t="shared" ca="1" si="434"/>
        <v>0</v>
      </c>
      <c r="L661" s="1026">
        <f t="shared" ca="1" si="434"/>
        <v>0</v>
      </c>
      <c r="M661" s="1026">
        <f t="shared" ref="M661:N661" ca="1" si="444">IF(OR(AND(M$5=0,NoZeroCol=1),AND(M$5=-99,NoResCol=1)),0,OFFSET($E480,0,M$8))</f>
        <v>0</v>
      </c>
      <c r="N661" s="1026">
        <f t="shared" ca="1" si="444"/>
        <v>0</v>
      </c>
      <c r="O661" s="1026">
        <f t="shared" ref="O661:P661" ca="1" si="445">IF(OR(AND(O$5=0,NoZeroCol=1),AND(O$5=-99,NoResCol=1)),0,OFFSET($E480,0,O$8))</f>
        <v>0</v>
      </c>
      <c r="P661" s="1026">
        <f t="shared" ca="1" si="445"/>
        <v>0</v>
      </c>
      <c r="Q661" s="1256">
        <f t="shared" ca="1" si="434"/>
        <v>0</v>
      </c>
      <c r="R661" s="321" t="str">
        <f t="shared" si="437"/>
        <v/>
      </c>
      <c r="S661" s="319" t="s">
        <v>229</v>
      </c>
    </row>
    <row r="662" spans="1:19" ht="12" hidden="1" customHeight="1" x14ac:dyDescent="0.35">
      <c r="A662" s="235"/>
      <c r="B662" s="445"/>
      <c r="C662" s="445" t="str">
        <f t="shared" ca="1" si="433"/>
        <v/>
      </c>
      <c r="D662" s="1118"/>
      <c r="E662" s="324" t="s">
        <v>1012</v>
      </c>
      <c r="F662" s="971">
        <f t="shared" ref="F662:Q662" ca="1" si="446">IF(OR(AND(F$5=0,NoZeroCol=1),AND(F$5=-99,NoResCol=1)),0,OFFSET($E481,0,F$8))</f>
        <v>0</v>
      </c>
      <c r="G662" s="1026">
        <f t="shared" ca="1" si="446"/>
        <v>0</v>
      </c>
      <c r="H662" s="1026">
        <f t="shared" ca="1" si="446"/>
        <v>0</v>
      </c>
      <c r="I662" s="1026">
        <f t="shared" ca="1" si="446"/>
        <v>0</v>
      </c>
      <c r="J662" s="1026">
        <f t="shared" ca="1" si="446"/>
        <v>0</v>
      </c>
      <c r="K662" s="1026">
        <f t="shared" ca="1" si="446"/>
        <v>0</v>
      </c>
      <c r="L662" s="1026">
        <f t="shared" ca="1" si="446"/>
        <v>0</v>
      </c>
      <c r="M662" s="1026">
        <f t="shared" ref="M662:N662" ca="1" si="447">IF(OR(AND(M$5=0,NoZeroCol=1),AND(M$5=-99,NoResCol=1)),0,OFFSET($E481,0,M$8))</f>
        <v>0</v>
      </c>
      <c r="N662" s="1026">
        <f t="shared" ca="1" si="447"/>
        <v>0</v>
      </c>
      <c r="O662" s="1026">
        <f t="shared" ref="O662:P662" ca="1" si="448">IF(OR(AND(O$5=0,NoZeroCol=1),AND(O$5=-99,NoResCol=1)),0,OFFSET($E481,0,O$8))</f>
        <v>0</v>
      </c>
      <c r="P662" s="1026">
        <f t="shared" ca="1" si="448"/>
        <v>0</v>
      </c>
      <c r="Q662" s="1256">
        <f t="shared" ca="1" si="446"/>
        <v>0</v>
      </c>
      <c r="R662" s="321" t="str">
        <f t="shared" si="437"/>
        <v/>
      </c>
      <c r="S662" s="319" t="s">
        <v>229</v>
      </c>
    </row>
    <row r="663" spans="1:19" ht="12" hidden="1" customHeight="1" x14ac:dyDescent="0.35">
      <c r="A663" s="235"/>
      <c r="B663" s="445"/>
      <c r="C663" s="445" t="str">
        <f t="shared" ca="1" si="433"/>
        <v/>
      </c>
      <c r="D663" s="1118"/>
      <c r="E663" s="324" t="s">
        <v>5182</v>
      </c>
      <c r="F663" s="971">
        <f t="shared" ref="F663:Q663" ca="1" si="449">IF(OR(AND(F$5=0,NoZeroCol=1),AND(F$5=-99,NoResCol=1)),0,OFFSET($E482,0,F$8))</f>
        <v>0</v>
      </c>
      <c r="G663" s="1026">
        <f t="shared" ca="1" si="449"/>
        <v>0</v>
      </c>
      <c r="H663" s="1026">
        <f t="shared" ca="1" si="449"/>
        <v>0</v>
      </c>
      <c r="I663" s="1026">
        <f t="shared" ca="1" si="449"/>
        <v>0</v>
      </c>
      <c r="J663" s="1026">
        <f t="shared" ca="1" si="449"/>
        <v>0</v>
      </c>
      <c r="K663" s="1026">
        <f t="shared" ca="1" si="449"/>
        <v>0</v>
      </c>
      <c r="L663" s="1026">
        <f t="shared" ca="1" si="449"/>
        <v>0</v>
      </c>
      <c r="M663" s="1026">
        <f t="shared" ref="M663:N663" ca="1" si="450">IF(OR(AND(M$5=0,NoZeroCol=1),AND(M$5=-99,NoResCol=1)),0,OFFSET($E482,0,M$8))</f>
        <v>0</v>
      </c>
      <c r="N663" s="1026">
        <f t="shared" ca="1" si="450"/>
        <v>0</v>
      </c>
      <c r="O663" s="1026">
        <f t="shared" ref="O663:P663" ca="1" si="451">IF(OR(AND(O$5=0,NoZeroCol=1),AND(O$5=-99,NoResCol=1)),0,OFFSET($E482,0,O$8))</f>
        <v>0</v>
      </c>
      <c r="P663" s="1026">
        <f t="shared" ca="1" si="451"/>
        <v>0</v>
      </c>
      <c r="Q663" s="1256">
        <f t="shared" ca="1" si="449"/>
        <v>0</v>
      </c>
      <c r="R663" s="321" t="str">
        <f t="shared" si="437"/>
        <v/>
      </c>
      <c r="S663" s="319" t="s">
        <v>229</v>
      </c>
    </row>
    <row r="664" spans="1:19" ht="12" hidden="1" customHeight="1" x14ac:dyDescent="0.35">
      <c r="A664" s="235"/>
      <c r="B664" s="445"/>
      <c r="C664" s="445" t="str">
        <f t="shared" ca="1" si="433"/>
        <v/>
      </c>
      <c r="D664" s="1118"/>
      <c r="E664" s="324" t="s">
        <v>5183</v>
      </c>
      <c r="F664" s="971">
        <f t="shared" ref="F664:Q664" ca="1" si="452">IF(OR(AND(F$5=0,NoZeroCol=1),AND(F$5=-99,NoResCol=1)),0,OFFSET($E483,0,F$8))</f>
        <v>0</v>
      </c>
      <c r="G664" s="1026">
        <f t="shared" ca="1" si="452"/>
        <v>0</v>
      </c>
      <c r="H664" s="1026">
        <f t="shared" ca="1" si="452"/>
        <v>0</v>
      </c>
      <c r="I664" s="1026">
        <f t="shared" ca="1" si="452"/>
        <v>0</v>
      </c>
      <c r="J664" s="1026">
        <f t="shared" ca="1" si="452"/>
        <v>0</v>
      </c>
      <c r="K664" s="1026">
        <f t="shared" ca="1" si="452"/>
        <v>0</v>
      </c>
      <c r="L664" s="1026">
        <f t="shared" ca="1" si="452"/>
        <v>0</v>
      </c>
      <c r="M664" s="1026">
        <f t="shared" ref="M664:N664" ca="1" si="453">IF(OR(AND(M$5=0,NoZeroCol=1),AND(M$5=-99,NoResCol=1)),0,OFFSET($E483,0,M$8))</f>
        <v>0</v>
      </c>
      <c r="N664" s="1026">
        <f t="shared" ca="1" si="453"/>
        <v>0</v>
      </c>
      <c r="O664" s="1026">
        <f t="shared" ref="O664:P664" ca="1" si="454">IF(OR(AND(O$5=0,NoZeroCol=1),AND(O$5=-99,NoResCol=1)),0,OFFSET($E483,0,O$8))</f>
        <v>0</v>
      </c>
      <c r="P664" s="1026">
        <f t="shared" ca="1" si="454"/>
        <v>0</v>
      </c>
      <c r="Q664" s="1256">
        <f t="shared" ca="1" si="452"/>
        <v>0</v>
      </c>
      <c r="R664" s="321" t="str">
        <f t="shared" si="437"/>
        <v/>
      </c>
      <c r="S664" s="319" t="s">
        <v>229</v>
      </c>
    </row>
    <row r="665" spans="1:19" ht="12" hidden="1" customHeight="1" x14ac:dyDescent="0.35">
      <c r="A665" s="235"/>
      <c r="B665" s="445"/>
      <c r="C665" s="445" t="str">
        <f t="shared" ca="1" si="433"/>
        <v/>
      </c>
      <c r="D665" s="1118"/>
      <c r="E665" s="324" t="s">
        <v>5184</v>
      </c>
      <c r="F665" s="971">
        <f t="shared" ref="F665:Q665" ca="1" si="455">IF(OR(AND(F$5=0,NoZeroCol=1),AND(F$5=-99,NoResCol=1)),0,OFFSET($E484,0,F$8))</f>
        <v>0</v>
      </c>
      <c r="G665" s="1026">
        <f t="shared" ca="1" si="455"/>
        <v>0</v>
      </c>
      <c r="H665" s="1026">
        <f t="shared" ca="1" si="455"/>
        <v>0</v>
      </c>
      <c r="I665" s="1026">
        <f t="shared" ca="1" si="455"/>
        <v>0</v>
      </c>
      <c r="J665" s="1026">
        <f t="shared" ca="1" si="455"/>
        <v>0</v>
      </c>
      <c r="K665" s="1026">
        <f t="shared" ca="1" si="455"/>
        <v>0</v>
      </c>
      <c r="L665" s="1026">
        <f t="shared" ca="1" si="455"/>
        <v>0</v>
      </c>
      <c r="M665" s="1026">
        <f t="shared" ref="M665:N665" ca="1" si="456">IF(OR(AND(M$5=0,NoZeroCol=1),AND(M$5=-99,NoResCol=1)),0,OFFSET($E484,0,M$8))</f>
        <v>0</v>
      </c>
      <c r="N665" s="1026">
        <f t="shared" ca="1" si="456"/>
        <v>0</v>
      </c>
      <c r="O665" s="1026">
        <f t="shared" ref="O665:P665" ca="1" si="457">IF(OR(AND(O$5=0,NoZeroCol=1),AND(O$5=-99,NoResCol=1)),0,OFFSET($E484,0,O$8))</f>
        <v>0</v>
      </c>
      <c r="P665" s="1026">
        <f t="shared" ca="1" si="457"/>
        <v>0</v>
      </c>
      <c r="Q665" s="1256">
        <f t="shared" ca="1" si="455"/>
        <v>0</v>
      </c>
      <c r="R665" s="321" t="str">
        <f t="shared" si="437"/>
        <v/>
      </c>
      <c r="S665" s="319" t="s">
        <v>229</v>
      </c>
    </row>
    <row r="666" spans="1:19" ht="12" hidden="1" customHeight="1" x14ac:dyDescent="0.35">
      <c r="A666" s="235"/>
      <c r="B666" s="445"/>
      <c r="C666" s="524" t="str">
        <f t="shared" ca="1" si="433"/>
        <v/>
      </c>
      <c r="D666" s="1125"/>
      <c r="E666" s="385" t="s">
        <v>5187</v>
      </c>
      <c r="F666" s="961">
        <f t="shared" ref="F666:Q666" ca="1" si="458">IF(OR(AND(F$5=0,NoZeroCol=1),AND(F$5=-99,NoResCol=1)),0,OFFSET($E485,0,F$8))</f>
        <v>0</v>
      </c>
      <c r="G666" s="1058">
        <f t="shared" ca="1" si="458"/>
        <v>0</v>
      </c>
      <c r="H666" s="1058">
        <f t="shared" ca="1" si="458"/>
        <v>0</v>
      </c>
      <c r="I666" s="1058">
        <f t="shared" ca="1" si="458"/>
        <v>0</v>
      </c>
      <c r="J666" s="1058">
        <f t="shared" ca="1" si="458"/>
        <v>0</v>
      </c>
      <c r="K666" s="1058">
        <f t="shared" ca="1" si="458"/>
        <v>0</v>
      </c>
      <c r="L666" s="1058">
        <f t="shared" ca="1" si="458"/>
        <v>0</v>
      </c>
      <c r="M666" s="1058">
        <f t="shared" ref="M666:N666" ca="1" si="459">IF(OR(AND(M$5=0,NoZeroCol=1),AND(M$5=-99,NoResCol=1)),0,OFFSET($E485,0,M$8))</f>
        <v>0</v>
      </c>
      <c r="N666" s="1058">
        <f t="shared" ca="1" si="459"/>
        <v>0</v>
      </c>
      <c r="O666" s="1058">
        <f t="shared" ref="O666:P666" ca="1" si="460">IF(OR(AND(O$5=0,NoZeroCol=1),AND(O$5=-99,NoResCol=1)),0,OFFSET($E485,0,O$8))</f>
        <v>0</v>
      </c>
      <c r="P666" s="1058">
        <f t="shared" ca="1" si="460"/>
        <v>0</v>
      </c>
      <c r="Q666" s="1258">
        <f t="shared" ca="1" si="458"/>
        <v>0</v>
      </c>
      <c r="R666" s="321" t="str">
        <f t="shared" si="437"/>
        <v/>
      </c>
      <c r="S666" s="319" t="s">
        <v>229</v>
      </c>
    </row>
    <row r="667" spans="1:19" ht="12" customHeight="1" x14ac:dyDescent="0.35">
      <c r="A667" s="434"/>
      <c r="B667" s="445"/>
      <c r="C667" s="434" t="s">
        <v>1013</v>
      </c>
      <c r="D667" s="1118"/>
      <c r="E667" s="324" t="s">
        <v>1014</v>
      </c>
      <c r="F667" s="971">
        <f ca="1">IF(OR(AND(F$5=0,NoZeroCol=1),AND(F$5=-99,NoResCol=1)),0,F502+OFFSET($E$503,0,F$8))</f>
        <v>0</v>
      </c>
      <c r="G667" s="1026">
        <f t="shared" ref="G667:Q667" ca="1" si="461">IF(OR(AND(G$5=0,NoZeroCol=1),AND(G$5=-99,NoResCol=1)),0,OFFSET($E$503,0,G$8))</f>
        <v>0</v>
      </c>
      <c r="H667" s="1026">
        <f t="shared" ca="1" si="461"/>
        <v>0</v>
      </c>
      <c r="I667" s="1026">
        <f t="shared" ca="1" si="461"/>
        <v>0</v>
      </c>
      <c r="J667" s="1026">
        <f t="shared" ca="1" si="461"/>
        <v>0</v>
      </c>
      <c r="K667" s="1026">
        <f t="shared" ca="1" si="461"/>
        <v>0</v>
      </c>
      <c r="L667" s="1026">
        <f t="shared" ca="1" si="461"/>
        <v>0</v>
      </c>
      <c r="M667" s="1026">
        <f t="shared" ca="1" si="461"/>
        <v>0</v>
      </c>
      <c r="N667" s="1026">
        <f t="shared" ca="1" si="461"/>
        <v>0</v>
      </c>
      <c r="O667" s="1026">
        <f t="shared" ca="1" si="461"/>
        <v>0</v>
      </c>
      <c r="P667" s="1026">
        <f t="shared" ca="1" si="461"/>
        <v>0</v>
      </c>
      <c r="Q667" s="1256">
        <f t="shared" ca="1" si="461"/>
        <v>0</v>
      </c>
      <c r="R667" s="381"/>
      <c r="S667" s="319" t="s">
        <v>148</v>
      </c>
    </row>
    <row r="668" spans="1:19" ht="12" customHeight="1" x14ac:dyDescent="0.35">
      <c r="A668" s="434"/>
      <c r="B668" s="445"/>
      <c r="C668" s="434" t="str">
        <f ca="1">SpecsTxt!$H$22&amp;IF(SUM(TaxCorrection)&lt;&gt;0," ("&amp;SpecsTxt!$G$22&amp;")","")</f>
        <v>Income tax</v>
      </c>
      <c r="D668" s="1137"/>
      <c r="E668" s="324" t="s">
        <v>1015</v>
      </c>
      <c r="F668" s="971">
        <f ca="1">OFFSET($E$508,0,F$8)</f>
        <v>0</v>
      </c>
      <c r="G668" s="1026">
        <f t="shared" ref="G668:Q668" ca="1" si="462">CalculatedTax3</f>
        <v>0</v>
      </c>
      <c r="H668" s="1026">
        <f t="shared" ca="1" si="462"/>
        <v>0</v>
      </c>
      <c r="I668" s="1026">
        <f t="shared" ca="1" si="462"/>
        <v>0</v>
      </c>
      <c r="J668" s="1026">
        <f t="shared" ca="1" si="462"/>
        <v>0</v>
      </c>
      <c r="K668" s="1026">
        <f t="shared" ca="1" si="462"/>
        <v>-79989.30847144431</v>
      </c>
      <c r="L668" s="1026">
        <f t="shared" ca="1" si="462"/>
        <v>-470950.74946412235</v>
      </c>
      <c r="M668" s="1026">
        <f t="shared" ca="1" si="462"/>
        <v>-757270.54309355002</v>
      </c>
      <c r="N668" s="1026">
        <f t="shared" ca="1" si="462"/>
        <v>-1107936.8215395985</v>
      </c>
      <c r="O668" s="1026">
        <f t="shared" ca="1" si="462"/>
        <v>-1528508.2860735075</v>
      </c>
      <c r="P668" s="1026">
        <f t="shared" ca="1" si="462"/>
        <v>-2043183.535205672</v>
      </c>
      <c r="Q668" s="1256">
        <f t="shared" ca="1" si="462"/>
        <v>0</v>
      </c>
      <c r="R668" s="321" t="str">
        <f>R508</f>
        <v/>
      </c>
      <c r="S668" s="319" t="s">
        <v>71</v>
      </c>
    </row>
    <row r="669" spans="1:19" ht="12" customHeight="1" x14ac:dyDescent="0.35">
      <c r="A669" s="434"/>
      <c r="B669" s="445"/>
      <c r="C669" s="434" t="s">
        <v>980</v>
      </c>
      <c r="D669" s="1118"/>
      <c r="E669" s="324" t="s">
        <v>1016</v>
      </c>
      <c r="F669" s="971">
        <f t="shared" ref="F669:Q669" ca="1" si="463">F625</f>
        <v>0</v>
      </c>
      <c r="G669" s="1026">
        <f t="shared" si="463"/>
        <v>0</v>
      </c>
      <c r="H669" s="1026">
        <f t="shared" ca="1" si="463"/>
        <v>-1121400</v>
      </c>
      <c r="I669" s="1026">
        <f t="shared" ca="1" si="463"/>
        <v>-349876.09375791351</v>
      </c>
      <c r="J669" s="1026">
        <f t="shared" ca="1" si="463"/>
        <v>-25093.422965035541</v>
      </c>
      <c r="K669" s="1026">
        <f t="shared" ca="1" si="463"/>
        <v>-25521.405094816175</v>
      </c>
      <c r="L669" s="1026">
        <f t="shared" ca="1" si="463"/>
        <v>-207488.40778447018</v>
      </c>
      <c r="M669" s="1026">
        <f t="shared" ref="M669:N669" ca="1" si="464">M625</f>
        <v>-389110.34916050255</v>
      </c>
      <c r="N669" s="1026">
        <f t="shared" ca="1" si="464"/>
        <v>-476660.17772161646</v>
      </c>
      <c r="O669" s="1026">
        <f t="shared" ref="O669:P669" ca="1" si="465">O625</f>
        <v>-583908.71770897927</v>
      </c>
      <c r="P669" s="1026">
        <f t="shared" ca="1" si="465"/>
        <v>-715288.1791935002</v>
      </c>
      <c r="Q669" s="1256">
        <f t="shared" ca="1" si="463"/>
        <v>3894346.7533868337</v>
      </c>
      <c r="R669" s="381"/>
      <c r="S669" s="319" t="s">
        <v>71</v>
      </c>
    </row>
    <row r="670" spans="1:19" ht="12" hidden="1" customHeight="1" x14ac:dyDescent="0.35">
      <c r="A670" s="434"/>
      <c r="B670" s="445"/>
      <c r="C670" s="523" t="str">
        <f>""&amp;B545</f>
        <v>Short-term assets</v>
      </c>
      <c r="D670" s="1117"/>
      <c r="E670" s="380" t="s">
        <v>1017</v>
      </c>
      <c r="F670" s="959">
        <f t="shared" ref="F670:Q670" ca="1" si="466">IF(OR(AND(F$5=0,NoZeroCol=1),AND(F$5=-99,NoResCol=1)),0,F$574)</f>
        <v>0</v>
      </c>
      <c r="G670" s="1055">
        <f t="shared" si="466"/>
        <v>0</v>
      </c>
      <c r="H670" s="1055">
        <f t="shared" ca="1" si="466"/>
        <v>-945000</v>
      </c>
      <c r="I670" s="1055">
        <f t="shared" ca="1" si="466"/>
        <v>-16117.494739814778</v>
      </c>
      <c r="J670" s="1055">
        <f t="shared" ca="1" si="466"/>
        <v>-16392.387477050885</v>
      </c>
      <c r="K670" s="1055">
        <f t="shared" ca="1" si="466"/>
        <v>-16671.968661108171</v>
      </c>
      <c r="L670" s="1055">
        <f t="shared" ca="1" si="466"/>
        <v>-223690.91644754412</v>
      </c>
      <c r="M670" s="1055">
        <f t="shared" ca="1" si="466"/>
        <v>-274021.37264824123</v>
      </c>
      <c r="N670" s="1055">
        <f t="shared" ca="1" si="466"/>
        <v>-335676.18149409606</v>
      </c>
      <c r="O670" s="1055">
        <f t="shared" ca="1" si="466"/>
        <v>-411203.32233026694</v>
      </c>
      <c r="P670" s="1055">
        <f t="shared" ca="1" si="466"/>
        <v>-503724.069854578</v>
      </c>
      <c r="Q670" s="1262">
        <f t="shared" ca="1" si="466"/>
        <v>2742497.7136527002</v>
      </c>
      <c r="R670" s="381"/>
      <c r="S670" s="319" t="s">
        <v>82</v>
      </c>
    </row>
    <row r="671" spans="1:19" ht="12" hidden="1" customHeight="1" x14ac:dyDescent="0.35">
      <c r="A671" s="434"/>
      <c r="B671" s="445"/>
      <c r="C671" s="445" t="str">
        <f>""&amp;B575</f>
        <v>Inventories</v>
      </c>
      <c r="D671" s="1118"/>
      <c r="E671" s="324" t="s">
        <v>1018</v>
      </c>
      <c r="F671" s="971">
        <f t="shared" ref="F671:Q671" ca="1" si="467">IF(OR(AND(F$5=0,NoZeroCol=1),AND(F$5=-99,NoResCol=1)),0,F$596)</f>
        <v>0</v>
      </c>
      <c r="G671" s="1026">
        <f t="shared" si="467"/>
        <v>0</v>
      </c>
      <c r="H671" s="1026">
        <f t="shared" ca="1" si="467"/>
        <v>-661500</v>
      </c>
      <c r="I671" s="1026">
        <f t="shared" ca="1" si="467"/>
        <v>-342032.24631787033</v>
      </c>
      <c r="J671" s="1026">
        <f t="shared" ca="1" si="467"/>
        <v>-17115.794392870797</v>
      </c>
      <c r="K671" s="1026">
        <f t="shared" ca="1" si="467"/>
        <v>-17407.713679743523</v>
      </c>
      <c r="L671" s="1026">
        <f t="shared" ca="1" si="467"/>
        <v>-98625.495113332057</v>
      </c>
      <c r="M671" s="1026">
        <f t="shared" ca="1" si="467"/>
        <v>-255753.2811383584</v>
      </c>
      <c r="N671" s="1026">
        <f t="shared" ca="1" si="467"/>
        <v>-313297.7693944897</v>
      </c>
      <c r="O671" s="1026">
        <f t="shared" ca="1" si="467"/>
        <v>-383789.7675082495</v>
      </c>
      <c r="P671" s="1026">
        <f t="shared" ca="1" si="467"/>
        <v>-470142.46519760555</v>
      </c>
      <c r="Q671" s="1256">
        <f t="shared" ca="1" si="467"/>
        <v>2559664.5327425199</v>
      </c>
      <c r="R671" s="381"/>
      <c r="S671" s="319" t="s">
        <v>82</v>
      </c>
    </row>
    <row r="672" spans="1:19" ht="12" hidden="1" customHeight="1" x14ac:dyDescent="0.35">
      <c r="A672" s="434"/>
      <c r="B672" s="445"/>
      <c r="C672" s="524" t="str">
        <f>""&amp;B597</f>
        <v>Current liabilities</v>
      </c>
      <c r="D672" s="1125"/>
      <c r="E672" s="385" t="s">
        <v>1019</v>
      </c>
      <c r="F672" s="961">
        <f t="shared" ref="F672:Q672" ca="1" si="468">IF(OR(AND(F$5=0,NoZeroCol=1),AND(F$5=-99,NoResCol=1)),0,F$624)</f>
        <v>0</v>
      </c>
      <c r="G672" s="1058">
        <f t="shared" si="468"/>
        <v>0</v>
      </c>
      <c r="H672" s="1058">
        <f t="shared" ca="1" si="468"/>
        <v>485099.99999999994</v>
      </c>
      <c r="I672" s="1058">
        <f t="shared" ca="1" si="468"/>
        <v>8273.6472997716046</v>
      </c>
      <c r="J672" s="1058">
        <f t="shared" ca="1" si="468"/>
        <v>8414.758904886141</v>
      </c>
      <c r="K672" s="1058">
        <f t="shared" ca="1" si="468"/>
        <v>8558.2772460355191</v>
      </c>
      <c r="L672" s="1058">
        <f t="shared" ca="1" si="468"/>
        <v>114828.003776406</v>
      </c>
      <c r="M672" s="1058">
        <f t="shared" ca="1" si="468"/>
        <v>140664.30462609709</v>
      </c>
      <c r="N672" s="1058">
        <f t="shared" ca="1" si="468"/>
        <v>172313.7731669693</v>
      </c>
      <c r="O672" s="1058">
        <f t="shared" ca="1" si="468"/>
        <v>211084.37212953717</v>
      </c>
      <c r="P672" s="1058">
        <f t="shared" ca="1" si="468"/>
        <v>258578.35585868335</v>
      </c>
      <c r="Q672" s="1258">
        <f t="shared" ca="1" si="468"/>
        <v>-1407815.4930083861</v>
      </c>
      <c r="R672" s="381"/>
      <c r="S672" s="319" t="s">
        <v>82</v>
      </c>
    </row>
    <row r="673" spans="1:19" ht="14.15" customHeight="1" x14ac:dyDescent="0.35">
      <c r="A673" s="235"/>
      <c r="B673" s="517" t="s">
        <v>991</v>
      </c>
      <c r="C673" s="518"/>
      <c r="D673" s="1138"/>
      <c r="E673" s="337" t="s">
        <v>1020</v>
      </c>
      <c r="F673" s="1057">
        <f ca="1">F$634+F$645+F$656+F$667+F$668+F$669</f>
        <v>0</v>
      </c>
      <c r="G673" s="1060">
        <f>IF(NoZeroCol=1,0,G$634+G$645+G$656+G$667+G$668+G$669)</f>
        <v>0</v>
      </c>
      <c r="H673" s="1060">
        <f t="shared" ref="H673:P673" ca="1" si="469">H$634+H$645+H$656+H$667+H$668+H$669</f>
        <v>-1037900</v>
      </c>
      <c r="I673" s="1060">
        <f t="shared" ca="1" si="469"/>
        <v>-261540.84533596906</v>
      </c>
      <c r="J673" s="1060">
        <f t="shared" ca="1" si="469"/>
        <v>68159.541700024158</v>
      </c>
      <c r="K673" s="1060">
        <f t="shared" ca="1" si="469"/>
        <v>-7256.1583028683235</v>
      </c>
      <c r="L673" s="1060">
        <f t="shared" ca="1" si="469"/>
        <v>1305902.8051232728</v>
      </c>
      <c r="M673" s="1060">
        <f t="shared" ca="1" si="469"/>
        <v>1824438.0116514824</v>
      </c>
      <c r="N673" s="1060">
        <f t="shared" ca="1" si="469"/>
        <v>2594656.1580230654</v>
      </c>
      <c r="O673" s="1060">
        <f t="shared" ca="1" si="469"/>
        <v>3547168.1138907536</v>
      </c>
      <c r="P673" s="1060">
        <f t="shared" ca="1" si="469"/>
        <v>4714520.0547505487</v>
      </c>
      <c r="Q673" s="1263">
        <f ca="1">IF(NoResCol=1,0,Q$634+Q$645+Q$656+Q$667+Q$668+Q$669)</f>
        <v>3894346.7533868337</v>
      </c>
      <c r="R673" s="321"/>
      <c r="S673" s="319" t="s">
        <v>644</v>
      </c>
    </row>
    <row r="674" spans="1:19" ht="14.15" hidden="1" customHeight="1" x14ac:dyDescent="0.35">
      <c r="A674" s="235"/>
      <c r="B674" s="445" t="s">
        <v>57</v>
      </c>
      <c r="C674" s="434"/>
      <c r="D674" s="1118"/>
      <c r="E674" s="324" t="s">
        <v>1021</v>
      </c>
      <c r="F674" s="971">
        <f ca="1">OFFSET($E$815,0,F$8)-SUM(OFFSET($E$815,0,F$8-1))</f>
        <v>0</v>
      </c>
      <c r="G674" s="1026">
        <f t="shared" ref="G674:Q674" ca="1" si="470">IF(OR(AND(G$5=0,NoZeroCol=1),AND(G$5=-99,NoResCol=1)),0,OFFSET($E$13,0,G$8))</f>
        <v>0</v>
      </c>
      <c r="H674" s="1026">
        <f t="shared" ca="1" si="470"/>
        <v>0</v>
      </c>
      <c r="I674" s="1026">
        <f t="shared" ca="1" si="470"/>
        <v>0</v>
      </c>
      <c r="J674" s="1026">
        <f t="shared" ca="1" si="470"/>
        <v>0</v>
      </c>
      <c r="K674" s="1026">
        <f t="shared" ca="1" si="470"/>
        <v>0</v>
      </c>
      <c r="L674" s="1026">
        <f t="shared" ca="1" si="470"/>
        <v>0</v>
      </c>
      <c r="M674" s="1026">
        <f t="shared" ca="1" si="470"/>
        <v>0</v>
      </c>
      <c r="N674" s="1026">
        <f t="shared" ca="1" si="470"/>
        <v>0</v>
      </c>
      <c r="O674" s="1026">
        <f t="shared" ca="1" si="470"/>
        <v>0</v>
      </c>
      <c r="P674" s="1026">
        <f t="shared" ca="1" si="470"/>
        <v>0</v>
      </c>
      <c r="Q674" s="1256">
        <f t="shared" ca="1" si="470"/>
        <v>0</v>
      </c>
      <c r="R674" s="321"/>
      <c r="S674" s="319" t="s">
        <v>61</v>
      </c>
    </row>
    <row r="675" spans="1:19" ht="14.15" customHeight="1" thickBot="1" x14ac:dyDescent="0.4">
      <c r="A675" s="235"/>
      <c r="B675" s="445" t="s">
        <v>1022</v>
      </c>
      <c r="C675" s="434"/>
      <c r="D675" s="1118"/>
      <c r="E675" s="324" t="s">
        <v>1023</v>
      </c>
      <c r="F675" s="971">
        <f ca="1">SUM(OFFSET($E$772,0,F$8-1))-OFFSET($E$772,0,F$8)+OFFSET($E$491,0,F$8)</f>
        <v>0</v>
      </c>
      <c r="G675" s="1026">
        <f t="shared" ref="G675:Q675" ca="1" si="471">G$318+G$319+G$321</f>
        <v>0</v>
      </c>
      <c r="H675" s="1026">
        <f t="shared" ca="1" si="471"/>
        <v>-1500000</v>
      </c>
      <c r="I675" s="1026">
        <f t="shared" ca="1" si="471"/>
        <v>-500000</v>
      </c>
      <c r="J675" s="1026">
        <f t="shared" ca="1" si="471"/>
        <v>-350000</v>
      </c>
      <c r="K675" s="1026">
        <f t="shared" ca="1" si="471"/>
        <v>-350000</v>
      </c>
      <c r="L675" s="1026">
        <f t="shared" ca="1" si="471"/>
        <v>0</v>
      </c>
      <c r="M675" s="1026">
        <f t="shared" ca="1" si="471"/>
        <v>-90000</v>
      </c>
      <c r="N675" s="1026">
        <f t="shared" ca="1" si="471"/>
        <v>0</v>
      </c>
      <c r="O675" s="1026">
        <f t="shared" ca="1" si="471"/>
        <v>-45000</v>
      </c>
      <c r="P675" s="1026">
        <f t="shared" ca="1" si="471"/>
        <v>0</v>
      </c>
      <c r="Q675" s="1256">
        <f t="shared" ca="1" si="471"/>
        <v>522500</v>
      </c>
      <c r="R675" s="321"/>
      <c r="S675" s="319" t="s">
        <v>644</v>
      </c>
    </row>
    <row r="676" spans="1:19" ht="14.15" hidden="1" customHeight="1" x14ac:dyDescent="0.35">
      <c r="A676" s="235"/>
      <c r="B676" s="525" t="s">
        <v>1024</v>
      </c>
      <c r="C676" s="526"/>
      <c r="D676" s="1139"/>
      <c r="E676" s="324" t="s">
        <v>1025</v>
      </c>
      <c r="F676" s="971"/>
      <c r="G676" s="1036">
        <f t="shared" ref="G676:Q676" ca="1" si="472">G677+G678+G679</f>
        <v>0</v>
      </c>
      <c r="H676" s="1036">
        <f t="shared" ca="1" si="472"/>
        <v>0</v>
      </c>
      <c r="I676" s="1036">
        <f t="shared" ca="1" si="472"/>
        <v>0</v>
      </c>
      <c r="J676" s="1036">
        <f t="shared" ca="1" si="472"/>
        <v>0</v>
      </c>
      <c r="K676" s="1036">
        <f t="shared" ca="1" si="472"/>
        <v>0</v>
      </c>
      <c r="L676" s="1036">
        <f t="shared" ca="1" si="472"/>
        <v>0</v>
      </c>
      <c r="M676" s="1036">
        <f t="shared" ref="M676:N676" ca="1" si="473">M677+M678+M679</f>
        <v>0</v>
      </c>
      <c r="N676" s="1036">
        <f t="shared" ca="1" si="473"/>
        <v>0</v>
      </c>
      <c r="O676" s="1036">
        <f t="shared" ref="O676:P676" ca="1" si="474">O677+O678+O679</f>
        <v>0</v>
      </c>
      <c r="P676" s="1036">
        <f t="shared" ca="1" si="474"/>
        <v>0</v>
      </c>
      <c r="Q676" s="1264">
        <f t="shared" ca="1" si="472"/>
        <v>0</v>
      </c>
      <c r="R676" s="321"/>
      <c r="S676" s="319" t="s">
        <v>658</v>
      </c>
    </row>
    <row r="677" spans="1:19" ht="14.15" hidden="1" customHeight="1" x14ac:dyDescent="0.35">
      <c r="A677" s="235"/>
      <c r="B677" s="525"/>
      <c r="C677" s="526" t="s">
        <v>1026</v>
      </c>
      <c r="D677" s="1139"/>
      <c r="E677" s="324" t="s">
        <v>1027</v>
      </c>
      <c r="F677" s="1062"/>
      <c r="G677" s="1063">
        <f t="shared" ref="G677:Q677" si="475">G$329+G$330+G$332</f>
        <v>0</v>
      </c>
      <c r="H677" s="1063">
        <f t="shared" si="475"/>
        <v>0</v>
      </c>
      <c r="I677" s="1063">
        <f t="shared" si="475"/>
        <v>0</v>
      </c>
      <c r="J677" s="1063">
        <f t="shared" si="475"/>
        <v>0</v>
      </c>
      <c r="K677" s="1063">
        <f t="shared" si="475"/>
        <v>0</v>
      </c>
      <c r="L677" s="1063">
        <f t="shared" si="475"/>
        <v>0</v>
      </c>
      <c r="M677" s="1063">
        <f t="shared" si="475"/>
        <v>0</v>
      </c>
      <c r="N677" s="1063">
        <f t="shared" si="475"/>
        <v>0</v>
      </c>
      <c r="O677" s="1063">
        <f t="shared" si="475"/>
        <v>0</v>
      </c>
      <c r="P677" s="1063">
        <f t="shared" si="475"/>
        <v>0</v>
      </c>
      <c r="Q677" s="1265">
        <f t="shared" si="475"/>
        <v>0</v>
      </c>
      <c r="R677" s="321"/>
      <c r="S677" s="319" t="s">
        <v>658</v>
      </c>
    </row>
    <row r="678" spans="1:19" ht="14.15" hidden="1" customHeight="1" x14ac:dyDescent="0.35">
      <c r="A678" s="235"/>
      <c r="B678" s="525"/>
      <c r="C678" s="526" t="str">
        <f>$B$501</f>
        <v>Extraordinary income and charges</v>
      </c>
      <c r="D678" s="1139"/>
      <c r="E678" s="324" t="s">
        <v>1028</v>
      </c>
      <c r="F678" s="1062"/>
      <c r="G678" s="1063">
        <v>0</v>
      </c>
      <c r="H678" s="1063">
        <v>0</v>
      </c>
      <c r="I678" s="1063">
        <v>0</v>
      </c>
      <c r="J678" s="1063">
        <v>0</v>
      </c>
      <c r="K678" s="1063">
        <v>0</v>
      </c>
      <c r="L678" s="1063">
        <v>0</v>
      </c>
      <c r="M678" s="1063">
        <v>0</v>
      </c>
      <c r="N678" s="1063">
        <v>0</v>
      </c>
      <c r="O678" s="1063">
        <v>0</v>
      </c>
      <c r="P678" s="1063">
        <v>0</v>
      </c>
      <c r="Q678" s="1265">
        <v>0</v>
      </c>
      <c r="R678" s="321"/>
      <c r="S678" s="319" t="s">
        <v>658</v>
      </c>
    </row>
    <row r="679" spans="1:19" ht="14.15" hidden="1" customHeight="1" thickBot="1" x14ac:dyDescent="0.4">
      <c r="A679" s="235"/>
      <c r="B679" s="525"/>
      <c r="C679" s="526" t="s">
        <v>1029</v>
      </c>
      <c r="D679" s="1139"/>
      <c r="E679" s="324" t="s">
        <v>1030</v>
      </c>
      <c r="F679" s="1062"/>
      <c r="G679" s="1063">
        <f t="shared" ref="G679:Q679" ca="1" si="476">CalculatedTax4</f>
        <v>0</v>
      </c>
      <c r="H679" s="1063">
        <f t="shared" ca="1" si="476"/>
        <v>0</v>
      </c>
      <c r="I679" s="1063">
        <f t="shared" ca="1" si="476"/>
        <v>0</v>
      </c>
      <c r="J679" s="1063">
        <f t="shared" ca="1" si="476"/>
        <v>0</v>
      </c>
      <c r="K679" s="1063">
        <f t="shared" ca="1" si="476"/>
        <v>0</v>
      </c>
      <c r="L679" s="1063">
        <f t="shared" ca="1" si="476"/>
        <v>0</v>
      </c>
      <c r="M679" s="1063">
        <f t="shared" ca="1" si="476"/>
        <v>0</v>
      </c>
      <c r="N679" s="1063">
        <f t="shared" ca="1" si="476"/>
        <v>0</v>
      </c>
      <c r="O679" s="1063">
        <f t="shared" ca="1" si="476"/>
        <v>0</v>
      </c>
      <c r="P679" s="1063">
        <f t="shared" ca="1" si="476"/>
        <v>0</v>
      </c>
      <c r="Q679" s="1265">
        <f t="shared" ca="1" si="476"/>
        <v>0</v>
      </c>
      <c r="R679" s="321"/>
      <c r="S679" s="319" t="s">
        <v>658</v>
      </c>
    </row>
    <row r="680" spans="1:19" ht="14.15" customHeight="1" thickBot="1" x14ac:dyDescent="0.4">
      <c r="A680" s="235"/>
      <c r="B680" s="527" t="str">
        <f>"Free cash flow "&amp;IF(FCFEinUse&lt;&gt;1,"(FCF)","to firm (FCFF)")</f>
        <v>Free cash flow (FCF)</v>
      </c>
      <c r="C680" s="528"/>
      <c r="D680" s="1140"/>
      <c r="E680" s="529" t="s">
        <v>1031</v>
      </c>
      <c r="F680" s="1064">
        <f ca="1">F673+F674+F675+F676</f>
        <v>0</v>
      </c>
      <c r="G680" s="1065">
        <f>IF(NoZeroCol=1,0,G673+G674+G675+G676)</f>
        <v>0</v>
      </c>
      <c r="H680" s="1065">
        <f t="shared" ref="H680:P680" ca="1" si="477">H673+H674+H675+H676</f>
        <v>-2537900</v>
      </c>
      <c r="I680" s="1065">
        <f t="shared" ca="1" si="477"/>
        <v>-761540.845335969</v>
      </c>
      <c r="J680" s="1065">
        <f t="shared" ca="1" si="477"/>
        <v>-281840.45829997584</v>
      </c>
      <c r="K680" s="1065">
        <f t="shared" ca="1" si="477"/>
        <v>-357256.15830286831</v>
      </c>
      <c r="L680" s="1065">
        <f t="shared" ca="1" si="477"/>
        <v>1305902.8051232728</v>
      </c>
      <c r="M680" s="1065">
        <f t="shared" ca="1" si="477"/>
        <v>1734438.0116514824</v>
      </c>
      <c r="N680" s="1065">
        <f t="shared" ca="1" si="477"/>
        <v>2594656.1580230654</v>
      </c>
      <c r="O680" s="1065">
        <f t="shared" ca="1" si="477"/>
        <v>3502168.1138907536</v>
      </c>
      <c r="P680" s="1065">
        <f t="shared" ca="1" si="477"/>
        <v>4714520.0547505487</v>
      </c>
      <c r="Q680" s="1266">
        <f ca="1">IF(NoResCol=1,0,Q673+Q674+Q675+Q676)</f>
        <v>4416846.7533868337</v>
      </c>
      <c r="R680" s="321"/>
      <c r="S680" s="319" t="s">
        <v>644</v>
      </c>
    </row>
    <row r="681" spans="1:19" ht="14.15" customHeight="1" x14ac:dyDescent="0.35">
      <c r="A681" s="434"/>
      <c r="B681" s="523" t="str">
        <f>"Discounted free cash flow "&amp;IF(FCFEinUse&lt;&gt;1,"(DFCF)","to firm (DFCFF)")</f>
        <v>Discounted free cash flow (DFCF)</v>
      </c>
      <c r="C681" s="503"/>
      <c r="D681" s="1117"/>
      <c r="E681" s="380" t="s">
        <v>1032</v>
      </c>
      <c r="F681" s="959"/>
      <c r="G681" s="1055">
        <f>IF(NoZeroCol=1,0,G$1070)</f>
        <v>0</v>
      </c>
      <c r="H681" s="1055">
        <f ca="1">H$1070</f>
        <v>-2532168.9934675633</v>
      </c>
      <c r="I681" s="1055">
        <f t="shared" ref="I681:P681" ca="1" si="478">I$1070</f>
        <v>-758105.3531664965</v>
      </c>
      <c r="J681" s="1055">
        <f t="shared" ca="1" si="478"/>
        <v>-279935.43667700572</v>
      </c>
      <c r="K681" s="1055">
        <f t="shared" ca="1" si="478"/>
        <v>-354040.09364639537</v>
      </c>
      <c r="L681" s="1055">
        <f t="shared" ca="1" si="478"/>
        <v>1259510.369445808</v>
      </c>
      <c r="M681" s="1055">
        <f t="shared" ca="1" si="478"/>
        <v>1628050.3985298178</v>
      </c>
      <c r="N681" s="1055">
        <f t="shared" ca="1" si="478"/>
        <v>2370320.3500720463</v>
      </c>
      <c r="O681" s="1055">
        <f t="shared" ca="1" si="478"/>
        <v>3113740.3210585946</v>
      </c>
      <c r="P681" s="1055">
        <f t="shared" ca="1" si="478"/>
        <v>4079444.7712942325</v>
      </c>
      <c r="Q681" s="1262">
        <f ca="1">IF(NoResCol=1,0,Q$1070)</f>
        <v>3821869.9219564982</v>
      </c>
      <c r="R681" s="381"/>
      <c r="S681" s="319" t="s">
        <v>71</v>
      </c>
    </row>
    <row r="682" spans="1:19" ht="14.15" customHeight="1" x14ac:dyDescent="0.35">
      <c r="A682" s="235"/>
      <c r="B682" s="445" t="str">
        <f>"Cumulative discounted free cash flow"&amp;IF(FCFEinUse=1," to firm","")</f>
        <v>Cumulative discounted free cash flow</v>
      </c>
      <c r="C682" s="434"/>
      <c r="D682" s="1118"/>
      <c r="E682" s="324" t="s">
        <v>1033</v>
      </c>
      <c r="F682" s="971"/>
      <c r="G682" s="1026">
        <f>G681</f>
        <v>0</v>
      </c>
      <c r="H682" s="1026">
        <f t="shared" ref="H682:Q682" ca="1" si="479">OFFSET(H682,0,-1)+H681</f>
        <v>-2532168.9934675633</v>
      </c>
      <c r="I682" s="1026">
        <f t="shared" ca="1" si="479"/>
        <v>-3290274.3466340597</v>
      </c>
      <c r="J682" s="1026">
        <f t="shared" ca="1" si="479"/>
        <v>-3570209.7833110653</v>
      </c>
      <c r="K682" s="1026">
        <f t="shared" ca="1" si="479"/>
        <v>-3924249.8769574608</v>
      </c>
      <c r="L682" s="1026">
        <f t="shared" ca="1" si="479"/>
        <v>-2664739.507511653</v>
      </c>
      <c r="M682" s="1026">
        <f t="shared" ref="M682:N682" ca="1" si="480">OFFSET(M682,0,-1)+M681</f>
        <v>-1036689.1089818352</v>
      </c>
      <c r="N682" s="1026">
        <f t="shared" ca="1" si="480"/>
        <v>1333631.2410902111</v>
      </c>
      <c r="O682" s="1026">
        <f t="shared" ref="O682:P682" ca="1" si="481">OFFSET(O682,0,-1)+O681</f>
        <v>4447371.5621488057</v>
      </c>
      <c r="P682" s="1026">
        <f t="shared" ca="1" si="481"/>
        <v>8526816.3334430382</v>
      </c>
      <c r="Q682" s="1256">
        <f t="shared" ca="1" si="479"/>
        <v>12348686.255399536</v>
      </c>
      <c r="R682" s="321"/>
      <c r="S682" s="319" t="s">
        <v>71</v>
      </c>
    </row>
    <row r="683" spans="1:19" ht="14.15" hidden="1" customHeight="1" x14ac:dyDescent="0.35">
      <c r="A683" s="530"/>
      <c r="B683" s="517" t="s">
        <v>1034</v>
      </c>
      <c r="C683" s="518"/>
      <c r="D683" s="1138"/>
      <c r="E683" s="337" t="s">
        <v>1035</v>
      </c>
      <c r="F683" s="1066"/>
      <c r="G683" s="1067">
        <f t="shared" ref="G683:Q683" si="482">DiscYear</f>
        <v>2.75</v>
      </c>
      <c r="H683" s="1067">
        <f t="shared" si="482"/>
        <v>2.75</v>
      </c>
      <c r="I683" s="1067">
        <f t="shared" si="482"/>
        <v>2.75</v>
      </c>
      <c r="J683" s="1067">
        <f t="shared" si="482"/>
        <v>2.75</v>
      </c>
      <c r="K683" s="1067">
        <f t="shared" si="482"/>
        <v>2.75</v>
      </c>
      <c r="L683" s="1067">
        <f t="shared" si="482"/>
        <v>2.75</v>
      </c>
      <c r="M683" s="1067">
        <f t="shared" si="482"/>
        <v>2.75</v>
      </c>
      <c r="N683" s="1067">
        <f t="shared" si="482"/>
        <v>2.75</v>
      </c>
      <c r="O683" s="1067">
        <f t="shared" si="482"/>
        <v>2.75</v>
      </c>
      <c r="P683" s="1067">
        <f t="shared" si="482"/>
        <v>2.75</v>
      </c>
      <c r="Q683" s="1267">
        <f t="shared" si="482"/>
        <v>2.75</v>
      </c>
      <c r="R683" s="321"/>
      <c r="S683" s="319" t="s">
        <v>73</v>
      </c>
    </row>
    <row r="684" spans="1:19" ht="14.15" customHeight="1" x14ac:dyDescent="0.35">
      <c r="A684" s="235"/>
      <c r="B684" s="531" t="s">
        <v>1036</v>
      </c>
      <c r="C684" s="532"/>
      <c r="D684" s="1141"/>
      <c r="E684" s="337" t="s">
        <v>1037</v>
      </c>
      <c r="F684" s="1068"/>
      <c r="G684" s="1069"/>
      <c r="H684" s="1069"/>
      <c r="I684" s="1069"/>
      <c r="J684" s="1069"/>
      <c r="K684" s="1069"/>
      <c r="L684" s="1069"/>
      <c r="M684" s="1069"/>
      <c r="N684" s="1069"/>
      <c r="O684" s="1069"/>
      <c r="P684" s="1069"/>
      <c r="Q684" s="1268"/>
      <c r="R684" s="321"/>
      <c r="S684" s="319" t="s">
        <v>148</v>
      </c>
    </row>
    <row r="685" spans="1:19" ht="14.15" hidden="1" customHeight="1" x14ac:dyDescent="0.35">
      <c r="A685" s="453"/>
      <c r="B685" s="533" t="s">
        <v>1038</v>
      </c>
      <c r="C685" s="506"/>
      <c r="D685" s="1125"/>
      <c r="E685" s="385" t="s">
        <v>1039</v>
      </c>
      <c r="F685" s="961"/>
      <c r="G685" s="1058">
        <f ca="1">IF(G$16=LastPeriod,"",IF(OFFSET(G$5,0,1)=-99,OFFSET(G$673,0,1)-OFFSET(G$668,0,1),NPV(IF(VariableRate=1,G$1062,DiscMonth),OFFSET(Specs2!$E$3,SUM($G$632:G$632),0):INDEX(PreTaxCashFlow,ROWS(PreTaxCashFlow)))))</f>
        <v>17732074.618754689</v>
      </c>
      <c r="H685" s="1058">
        <f ca="1">IF(H$16=LastPeriod,"",IF(OFFSET(H$5,0,1)=-99,OFFSET(H$673,0,1)-OFFSET(H$668,0,1),NPV(IF(VariableRate=1,H$1062,DiscMonth),OFFSET(Specs2!$E$3,SUM($G$632:H$632),0):INDEX(PreTaxCashFlow,ROWS(PreTaxCashFlow)))))</f>
        <v>20310107.262245663</v>
      </c>
      <c r="I685" s="1058">
        <f ca="1">IF(I$16=LastPeriod,"",IF(OFFSET(I$5,0,1)=-99,OFFSET(I$673,0,1)-OFFSET(I$668,0,1),NPV(IF(VariableRate=1,I$1062,DiscMonth),OFFSET(Specs2!$E$3,SUM($G$632:I$632),0):INDEX(PreTaxCashFlow,ROWS(PreTaxCashFlow)))))</f>
        <v>21117615.559870441</v>
      </c>
      <c r="J685" s="1058">
        <f ca="1">IF(J$16=LastPeriod,"",IF(OFFSET(J$5,0,1)=-99,OFFSET(J$673,0,1)-OFFSET(J$668,0,1),NPV(IF(VariableRate=1,J$1062,DiscMonth),OFFSET(Specs2!$E$3,SUM($G$632:J$632),0):INDEX(PreTaxCashFlow,ROWS(PreTaxCashFlow)))))</f>
        <v>21447251.087549798</v>
      </c>
      <c r="K685" s="1058">
        <f ca="1">IF(K$16=LastPeriod,"",IF(OFFSET(K$5,0,1)=-99,OFFSET(K$673,0,1)-OFFSET(K$668,0,1),NPV(IF(VariableRate=1,K$1062,DiscMonth),OFFSET(Specs2!$E$3,SUM($G$632:K$632),0):INDEX(PreTaxCashFlow,ROWS(PreTaxCashFlow)))))</f>
        <v>21773059.064139605</v>
      </c>
      <c r="L685" s="1058">
        <f ca="1">IF(L$16=LastPeriod,"",IF(OFFSET(L$5,0,1)=-99,OFFSET(L$673,0,1)-OFFSET(L$668,0,1),NPV(IF(VariableRate=1,L$1062,DiscMonth),OFFSET(Specs2!$E$3,SUM($G$632:L$632),0):INDEX(PreTaxCashFlow,ROWS(PreTaxCashFlow)))))</f>
        <v>20594964.633816056</v>
      </c>
      <c r="M685" s="1058">
        <f ca="1">IF(M$16=LastPeriod,"",IF(OFFSET(M$5,0,1)=-99,OFFSET(M$673,0,1)-OFFSET(M$668,0,1),NPV(IF(VariableRate=1,M$1062,DiscMonth),OFFSET(Specs2!$E$3,SUM($G$632:M$632),0):INDEX(PreTaxCashFlow,ROWS(PreTaxCashFlow)))))</f>
        <v>18669617.606500972</v>
      </c>
      <c r="N685" s="1058">
        <f ca="1">IF(N$16=LastPeriod,"",IF(OFFSET(N$5,0,1)=-99,OFFSET(N$673,0,1)-OFFSET(N$668,0,1),NPV(IF(VariableRate=1,N$1062,DiscMonth),OFFSET(Specs2!$E$3,SUM($G$632:N$632),0):INDEX(PreTaxCashFlow,ROWS(PreTaxCashFlow)))))</f>
        <v>15480439.1111171</v>
      </c>
      <c r="O685" s="1058">
        <f ca="1">IF(O$16=LastPeriod,"",IF(OFFSET(O$5,0,1)=-99,OFFSET(O$673,0,1)-OFFSET(O$668,0,1),NPV(IF(VariableRate=1,O$1062,DiscMonth),OFFSET(Specs2!$E$3,SUM($G$632:O$632),0):INDEX(PreTaxCashFlow,ROWS(PreTaxCashFlow)))))</f>
        <v>10875474.786708564</v>
      </c>
      <c r="P685" s="1058" t="str">
        <f ca="1">IF(P$16=LastPeriod,"",IF(OFFSET(P$5,0,1)=-99,OFFSET(P$673,0,1)-OFFSET(P$668,0,1),NPV(IF(VariableRate=1,P$1062,DiscMonth),OFFSET(Specs2!$E$3,SUM($G$632:P$632),0):INDEX(PreTaxCashFlow,ROWS(PreTaxCashFlow)))))</f>
        <v/>
      </c>
      <c r="Q685" s="1269"/>
      <c r="R685" s="321"/>
      <c r="S685" s="319" t="s">
        <v>1040</v>
      </c>
    </row>
    <row r="686" spans="1:19" ht="13.5" customHeight="1" x14ac:dyDescent="0.35">
      <c r="A686" s="235"/>
      <c r="B686" s="523" t="s">
        <v>1041</v>
      </c>
      <c r="C686" s="503"/>
      <c r="D686" s="1117"/>
      <c r="E686" s="380" t="s">
        <v>1042</v>
      </c>
      <c r="F686" s="1054">
        <f ca="1">F687+F689+F696</f>
        <v>0</v>
      </c>
      <c r="G686" s="1054">
        <f t="shared" ref="G686:Q686" ca="1" si="483">G687+G688+G689+OFFSET($E$696,0,G$8)</f>
        <v>0</v>
      </c>
      <c r="H686" s="1054">
        <f t="shared" ca="1" si="483"/>
        <v>0</v>
      </c>
      <c r="I686" s="1054">
        <f t="shared" ca="1" si="483"/>
        <v>0</v>
      </c>
      <c r="J686" s="1054">
        <f t="shared" ca="1" si="483"/>
        <v>0</v>
      </c>
      <c r="K686" s="1054">
        <f t="shared" ca="1" si="483"/>
        <v>0</v>
      </c>
      <c r="L686" s="1054">
        <f t="shared" ca="1" si="483"/>
        <v>0</v>
      </c>
      <c r="M686" s="1054">
        <f t="shared" ref="M686:N686" ca="1" si="484">M687+M688+M689+OFFSET($E$696,0,M$8)</f>
        <v>0</v>
      </c>
      <c r="N686" s="1054">
        <f t="shared" ca="1" si="484"/>
        <v>0</v>
      </c>
      <c r="O686" s="1054">
        <f t="shared" ref="O686:P686" ca="1" si="485">O687+O688+O689+OFFSET($E$696,0,O$8)</f>
        <v>0</v>
      </c>
      <c r="P686" s="1054">
        <f t="shared" ca="1" si="485"/>
        <v>0</v>
      </c>
      <c r="Q686" s="1270">
        <f t="shared" ca="1" si="483"/>
        <v>0</v>
      </c>
      <c r="R686" s="321"/>
      <c r="S686" s="319" t="s">
        <v>644</v>
      </c>
    </row>
    <row r="687" spans="1:19" ht="12" customHeight="1" x14ac:dyDescent="0.35">
      <c r="A687" s="235"/>
      <c r="B687" s="445"/>
      <c r="C687" s="434" t="s">
        <v>1043</v>
      </c>
      <c r="D687" s="1118"/>
      <c r="E687" s="324" t="s">
        <v>1044</v>
      </c>
      <c r="F687" s="1026">
        <f ca="1">F$497</f>
        <v>0</v>
      </c>
      <c r="G687" s="1026">
        <f ca="1">G$497+G$432-SUM(G$1174:G$1204)</f>
        <v>0</v>
      </c>
      <c r="H687" s="1026">
        <f t="shared" ref="H687:Q687" ca="1" si="486">H$497+H$432-SUM(H$1174:H$1204)</f>
        <v>0</v>
      </c>
      <c r="I687" s="1026">
        <f t="shared" ca="1" si="486"/>
        <v>0</v>
      </c>
      <c r="J687" s="1026">
        <f t="shared" ca="1" si="486"/>
        <v>0</v>
      </c>
      <c r="K687" s="1026">
        <f t="shared" ca="1" si="486"/>
        <v>0</v>
      </c>
      <c r="L687" s="1026">
        <f t="shared" ca="1" si="486"/>
        <v>0</v>
      </c>
      <c r="M687" s="1026">
        <f t="shared" ca="1" si="486"/>
        <v>0</v>
      </c>
      <c r="N687" s="1026">
        <f t="shared" ca="1" si="486"/>
        <v>0</v>
      </c>
      <c r="O687" s="1026">
        <f t="shared" ca="1" si="486"/>
        <v>0</v>
      </c>
      <c r="P687" s="1026">
        <f t="shared" ca="1" si="486"/>
        <v>0</v>
      </c>
      <c r="Q687" s="1256">
        <f t="shared" ca="1" si="486"/>
        <v>0</v>
      </c>
      <c r="R687" s="321"/>
      <c r="S687" s="319" t="s">
        <v>71</v>
      </c>
    </row>
    <row r="688" spans="1:19" ht="12" customHeight="1" x14ac:dyDescent="0.35">
      <c r="A688" s="235"/>
      <c r="B688" s="445"/>
      <c r="C688" s="434" t="s">
        <v>1045</v>
      </c>
      <c r="D688" s="1118"/>
      <c r="E688" s="324" t="s">
        <v>1046</v>
      </c>
      <c r="F688" s="1026"/>
      <c r="G688" s="1026">
        <f t="shared" ref="G688:Q688" ca="1" si="487">IF(InvOrAcq=2,-OFFSET($E$679,0,G$8)-OFFSET($E$668,0,G$8)+OFFSET($E$527,0,G$8)-OFFSET($E$509,0,G$8),-OFFSET($E$668,0,G$8)+OFFSET($E$508,0,G$8))</f>
        <v>0</v>
      </c>
      <c r="H688" s="1026">
        <f t="shared" ca="1" si="487"/>
        <v>0</v>
      </c>
      <c r="I688" s="1026">
        <f t="shared" ca="1" si="487"/>
        <v>0</v>
      </c>
      <c r="J688" s="1026">
        <f t="shared" ca="1" si="487"/>
        <v>0</v>
      </c>
      <c r="K688" s="1026">
        <f t="shared" ca="1" si="487"/>
        <v>0</v>
      </c>
      <c r="L688" s="1026">
        <f t="shared" ca="1" si="487"/>
        <v>0</v>
      </c>
      <c r="M688" s="1026">
        <f t="shared" ca="1" si="487"/>
        <v>0</v>
      </c>
      <c r="N688" s="1026">
        <f t="shared" ca="1" si="487"/>
        <v>0</v>
      </c>
      <c r="O688" s="1026">
        <f t="shared" ca="1" si="487"/>
        <v>0</v>
      </c>
      <c r="P688" s="1026">
        <f t="shared" ca="1" si="487"/>
        <v>0</v>
      </c>
      <c r="Q688" s="1256">
        <f t="shared" ca="1" si="487"/>
        <v>0</v>
      </c>
      <c r="R688" s="321"/>
      <c r="S688" s="319" t="s">
        <v>71</v>
      </c>
    </row>
    <row r="689" spans="1:19" ht="12" customHeight="1" x14ac:dyDescent="0.35">
      <c r="A689" s="235"/>
      <c r="B689" s="445"/>
      <c r="C689" s="434" t="s">
        <v>1047</v>
      </c>
      <c r="D689" s="1118"/>
      <c r="E689" s="324" t="s">
        <v>1048</v>
      </c>
      <c r="F689" s="971">
        <f ca="1">OFFSET($E$810,0,F$8)-SUM(OFFSET($E$810,0,F$8-1))-F674+(OFFSET($E$819,0,F$8)-SUM(OFFSET($E$819,0,F$8-1)))</f>
        <v>0</v>
      </c>
      <c r="G689" s="1026">
        <f t="shared" ref="G689:Q689" ca="1" si="488">IF(OR(AND(G$5=0,NoZeroCol=1),AND(G$5=-99,NoResCol=1)),0,G$690+OFFSET($E$694,0,G$8)+OFFSET($E$695,0,G$8))</f>
        <v>0</v>
      </c>
      <c r="H689" s="1026">
        <f t="shared" ca="1" si="488"/>
        <v>0</v>
      </c>
      <c r="I689" s="1026">
        <f t="shared" ca="1" si="488"/>
        <v>0</v>
      </c>
      <c r="J689" s="1026">
        <f t="shared" ca="1" si="488"/>
        <v>0</v>
      </c>
      <c r="K689" s="1026">
        <f t="shared" ca="1" si="488"/>
        <v>0</v>
      </c>
      <c r="L689" s="1026">
        <f t="shared" ca="1" si="488"/>
        <v>0</v>
      </c>
      <c r="M689" s="1026">
        <f t="shared" ca="1" si="488"/>
        <v>0</v>
      </c>
      <c r="N689" s="1026">
        <f t="shared" ca="1" si="488"/>
        <v>0</v>
      </c>
      <c r="O689" s="1026">
        <f t="shared" ca="1" si="488"/>
        <v>0</v>
      </c>
      <c r="P689" s="1026">
        <f t="shared" ca="1" si="488"/>
        <v>0</v>
      </c>
      <c r="Q689" s="1256">
        <f t="shared" ca="1" si="488"/>
        <v>0</v>
      </c>
      <c r="R689" s="321"/>
      <c r="S689" s="319" t="s">
        <v>71</v>
      </c>
    </row>
    <row r="690" spans="1:19" ht="12" hidden="1" customHeight="1" x14ac:dyDescent="0.35">
      <c r="A690" s="235"/>
      <c r="B690" s="445"/>
      <c r="C690" s="534" t="s">
        <v>1049</v>
      </c>
      <c r="D690" s="1117"/>
      <c r="E690" s="380" t="s">
        <v>1050</v>
      </c>
      <c r="F690" s="1070"/>
      <c r="G690" s="1055">
        <f t="shared" ref="G690:Q690" ca="1" si="489">IF(OR(AND(G$5=0,NoZeroCol=1),AND(G$5=-99,NoResCol=1)),0,G$692+G$693+OFFSET($E$691,0,G$8))</f>
        <v>0</v>
      </c>
      <c r="H690" s="1055">
        <f t="shared" ca="1" si="489"/>
        <v>0</v>
      </c>
      <c r="I690" s="1055">
        <f t="shared" ca="1" si="489"/>
        <v>0</v>
      </c>
      <c r="J690" s="1055">
        <f t="shared" ca="1" si="489"/>
        <v>0</v>
      </c>
      <c r="K690" s="1055">
        <f t="shared" ca="1" si="489"/>
        <v>0</v>
      </c>
      <c r="L690" s="1055">
        <f t="shared" ca="1" si="489"/>
        <v>0</v>
      </c>
      <c r="M690" s="1055">
        <f t="shared" ca="1" si="489"/>
        <v>0</v>
      </c>
      <c r="N690" s="1055">
        <f t="shared" ca="1" si="489"/>
        <v>0</v>
      </c>
      <c r="O690" s="1055">
        <f t="shared" ca="1" si="489"/>
        <v>0</v>
      </c>
      <c r="P690" s="1055">
        <f t="shared" ca="1" si="489"/>
        <v>0</v>
      </c>
      <c r="Q690" s="1262">
        <f t="shared" ca="1" si="489"/>
        <v>0</v>
      </c>
      <c r="R690" s="321"/>
      <c r="S690" s="319" t="s">
        <v>82</v>
      </c>
    </row>
    <row r="691" spans="1:19" ht="12" hidden="1" customHeight="1" x14ac:dyDescent="0.35">
      <c r="A691" s="235"/>
      <c r="B691" s="445"/>
      <c r="C691" s="535" t="str">
        <f>C689</f>
        <v>Long-term debt, increase (+) / decrease (-)</v>
      </c>
      <c r="D691" s="1118"/>
      <c r="E691" s="324" t="s">
        <v>1051</v>
      </c>
      <c r="F691" s="971"/>
      <c r="G691" s="1025"/>
      <c r="H691" s="1025"/>
      <c r="I691" s="1025"/>
      <c r="J691" s="1025"/>
      <c r="K691" s="1025"/>
      <c r="L691" s="1025"/>
      <c r="M691" s="1025"/>
      <c r="N691" s="1025"/>
      <c r="O691" s="1025"/>
      <c r="P691" s="1025"/>
      <c r="Q691" s="1271"/>
      <c r="R691" s="321"/>
      <c r="S691" s="319" t="s">
        <v>82</v>
      </c>
    </row>
    <row r="692" spans="1:19" ht="12" hidden="1" customHeight="1" x14ac:dyDescent="0.35">
      <c r="A692" s="235"/>
      <c r="B692" s="445"/>
      <c r="C692" s="535" t="s">
        <v>1052</v>
      </c>
      <c r="D692" s="1118"/>
      <c r="E692" s="324" t="s">
        <v>1053</v>
      </c>
      <c r="F692" s="971"/>
      <c r="G692" s="1026"/>
      <c r="H692" s="1026"/>
      <c r="I692" s="1026"/>
      <c r="J692" s="1026"/>
      <c r="K692" s="1026"/>
      <c r="L692" s="1026"/>
      <c r="M692" s="1026"/>
      <c r="N692" s="1026"/>
      <c r="O692" s="1026"/>
      <c r="P692" s="1026"/>
      <c r="Q692" s="1256"/>
      <c r="R692" s="321"/>
      <c r="S692" s="319" t="s">
        <v>82</v>
      </c>
    </row>
    <row r="693" spans="1:19" ht="12" hidden="1" customHeight="1" x14ac:dyDescent="0.35">
      <c r="A693" s="235"/>
      <c r="B693" s="445"/>
      <c r="C693" s="536" t="s">
        <v>1054</v>
      </c>
      <c r="D693" s="1139"/>
      <c r="E693" s="324" t="s">
        <v>1055</v>
      </c>
      <c r="F693" s="1062"/>
      <c r="G693" s="1063">
        <f ca="1">G$430-OFFSET(G$430,0,-1)+G$1122</f>
        <v>0</v>
      </c>
      <c r="H693" s="1063">
        <f t="shared" ref="H693:P693" ca="1" si="490">H$430-OFFSET(H$430,0,-1)+H$1122</f>
        <v>0</v>
      </c>
      <c r="I693" s="1063">
        <f t="shared" ca="1" si="490"/>
        <v>0</v>
      </c>
      <c r="J693" s="1063">
        <f t="shared" ca="1" si="490"/>
        <v>0</v>
      </c>
      <c r="K693" s="1063">
        <f t="shared" ca="1" si="490"/>
        <v>0</v>
      </c>
      <c r="L693" s="1063">
        <f t="shared" ca="1" si="490"/>
        <v>0</v>
      </c>
      <c r="M693" s="1063">
        <f t="shared" ca="1" si="490"/>
        <v>0</v>
      </c>
      <c r="N693" s="1063">
        <f t="shared" ca="1" si="490"/>
        <v>0</v>
      </c>
      <c r="O693" s="1063">
        <f t="shared" ca="1" si="490"/>
        <v>0</v>
      </c>
      <c r="P693" s="1063">
        <f t="shared" ca="1" si="490"/>
        <v>0</v>
      </c>
      <c r="Q693" s="1265"/>
      <c r="R693" s="321"/>
      <c r="S693" s="319" t="s">
        <v>928</v>
      </c>
    </row>
    <row r="694" spans="1:19" s="1253" customFormat="1" ht="12" hidden="1" customHeight="1" x14ac:dyDescent="0.35">
      <c r="A694" s="235"/>
      <c r="B694" s="445"/>
      <c r="C694" s="539" t="s">
        <v>5652</v>
      </c>
      <c r="D694" s="1118"/>
      <c r="E694" s="1251" t="s">
        <v>5653</v>
      </c>
      <c r="F694" s="1257"/>
      <c r="G694" s="1025"/>
      <c r="H694" s="1025"/>
      <c r="I694" s="1025"/>
      <c r="J694" s="1025"/>
      <c r="K694" s="1025"/>
      <c r="L694" s="1025"/>
      <c r="M694" s="1025"/>
      <c r="N694" s="1025"/>
      <c r="O694" s="1025"/>
      <c r="P694" s="1025"/>
      <c r="Q694" s="1271"/>
      <c r="R694" s="538"/>
      <c r="S694" s="319" t="s">
        <v>229</v>
      </c>
    </row>
    <row r="695" spans="1:19" ht="12" hidden="1" customHeight="1" x14ac:dyDescent="0.35">
      <c r="A695" s="235"/>
      <c r="B695" s="445"/>
      <c r="C695" s="537" t="s">
        <v>1056</v>
      </c>
      <c r="D695" s="1125"/>
      <c r="E695" s="385" t="s">
        <v>1057</v>
      </c>
      <c r="F695" s="1071"/>
      <c r="G695" s="1030"/>
      <c r="H695" s="1030"/>
      <c r="I695" s="1030"/>
      <c r="J695" s="1030"/>
      <c r="K695" s="1030"/>
      <c r="L695" s="1030"/>
      <c r="M695" s="1030"/>
      <c r="N695" s="1030"/>
      <c r="O695" s="1030"/>
      <c r="P695" s="1030"/>
      <c r="Q695" s="1272"/>
      <c r="R695" s="321"/>
      <c r="S695" s="319" t="s">
        <v>82</v>
      </c>
    </row>
    <row r="696" spans="1:19" ht="12" customHeight="1" x14ac:dyDescent="0.35">
      <c r="A696" s="235"/>
      <c r="B696" s="445"/>
      <c r="C696" s="439" t="s">
        <v>1058</v>
      </c>
      <c r="D696" s="1118"/>
      <c r="E696" s="324" t="s">
        <v>1059</v>
      </c>
      <c r="F696" s="971">
        <f ca="1">OFFSET($E$818,0,F$8)-SUM(OFFSET($E$818,0,F$8-1))</f>
        <v>0</v>
      </c>
      <c r="G696" s="1025"/>
      <c r="H696" s="1025"/>
      <c r="I696" s="1025"/>
      <c r="J696" s="1025"/>
      <c r="K696" s="1025"/>
      <c r="L696" s="1025"/>
      <c r="M696" s="1025"/>
      <c r="N696" s="1025"/>
      <c r="O696" s="1025"/>
      <c r="P696" s="1025"/>
      <c r="Q696" s="1271"/>
      <c r="R696" s="321"/>
      <c r="S696" s="319" t="s">
        <v>71</v>
      </c>
    </row>
    <row r="697" spans="1:19" ht="12" hidden="1" customHeight="1" thickBot="1" x14ac:dyDescent="0.4">
      <c r="A697" s="530"/>
      <c r="B697" s="527" t="s">
        <v>1060</v>
      </c>
      <c r="C697" s="528"/>
      <c r="D697" s="1140"/>
      <c r="E697" s="529" t="s">
        <v>1061</v>
      </c>
      <c r="F697" s="1072">
        <f t="shared" ref="F697:Q697" ca="1" si="491">F680+F687+F688+F689+OFFSET($E$696,0,F$8)</f>
        <v>0</v>
      </c>
      <c r="G697" s="1065">
        <f t="shared" ca="1" si="491"/>
        <v>0</v>
      </c>
      <c r="H697" s="1065">
        <f t="shared" ca="1" si="491"/>
        <v>-2537900</v>
      </c>
      <c r="I697" s="1065">
        <f t="shared" ca="1" si="491"/>
        <v>-761540.845335969</v>
      </c>
      <c r="J697" s="1065">
        <f t="shared" ca="1" si="491"/>
        <v>-281840.45829997584</v>
      </c>
      <c r="K697" s="1065">
        <f t="shared" ca="1" si="491"/>
        <v>-357256.15830286831</v>
      </c>
      <c r="L697" s="1065">
        <f t="shared" ca="1" si="491"/>
        <v>1305902.8051232728</v>
      </c>
      <c r="M697" s="1065">
        <f t="shared" ref="M697:N697" ca="1" si="492">M680+M687+M688+M689+OFFSET($E$696,0,M$8)</f>
        <v>1734438.0116514824</v>
      </c>
      <c r="N697" s="1065">
        <f t="shared" ca="1" si="492"/>
        <v>2594656.1580230654</v>
      </c>
      <c r="O697" s="1065">
        <f t="shared" ref="O697:P697" ca="1" si="493">O680+O687+O688+O689+OFFSET($E$696,0,O$8)</f>
        <v>3502168.1138907536</v>
      </c>
      <c r="P697" s="1065">
        <f t="shared" ca="1" si="493"/>
        <v>4714520.0547505487</v>
      </c>
      <c r="Q697" s="1266">
        <f t="shared" ca="1" si="491"/>
        <v>4416846.7533868337</v>
      </c>
      <c r="R697" s="538"/>
      <c r="S697" s="319" t="s">
        <v>6238</v>
      </c>
    </row>
    <row r="698" spans="1:19" ht="12" hidden="1" customHeight="1" x14ac:dyDescent="0.35">
      <c r="A698" s="530"/>
      <c r="B698" s="445" t="s">
        <v>1062</v>
      </c>
      <c r="C698" s="434"/>
      <c r="D698" s="1142"/>
      <c r="E698" s="324" t="s">
        <v>1063</v>
      </c>
      <c r="F698" s="1073"/>
      <c r="G698" s="1026">
        <f ca="1">G$1207</f>
        <v>0</v>
      </c>
      <c r="H698" s="1026">
        <f t="shared" ref="H698:Q698" ca="1" si="494">H$1207</f>
        <v>-2537900</v>
      </c>
      <c r="I698" s="1026">
        <f t="shared" ca="1" si="494"/>
        <v>-761540.845335969</v>
      </c>
      <c r="J698" s="1026">
        <f t="shared" ca="1" si="494"/>
        <v>-281840.45829997584</v>
      </c>
      <c r="K698" s="1026">
        <f t="shared" ca="1" si="494"/>
        <v>-357256.15830286831</v>
      </c>
      <c r="L698" s="1026">
        <f t="shared" ca="1" si="494"/>
        <v>1305902.8051232728</v>
      </c>
      <c r="M698" s="1026">
        <f t="shared" ca="1" si="494"/>
        <v>1734438.0116514824</v>
      </c>
      <c r="N698" s="1026">
        <f t="shared" ca="1" si="494"/>
        <v>2594656.1580230654</v>
      </c>
      <c r="O698" s="1026">
        <f t="shared" ca="1" si="494"/>
        <v>3502168.1138907536</v>
      </c>
      <c r="P698" s="1026">
        <f t="shared" ca="1" si="494"/>
        <v>4714520.0547505487</v>
      </c>
      <c r="Q698" s="1256">
        <f t="shared" ca="1" si="494"/>
        <v>4416846.7533868337</v>
      </c>
      <c r="R698" s="538"/>
      <c r="S698" s="319" t="s">
        <v>73</v>
      </c>
    </row>
    <row r="699" spans="1:19" ht="12" hidden="1" customHeight="1" x14ac:dyDescent="0.35">
      <c r="A699" s="530"/>
      <c r="B699" s="524" t="s">
        <v>1064</v>
      </c>
      <c r="C699" s="506"/>
      <c r="D699" s="1143"/>
      <c r="E699" s="385" t="s">
        <v>1065</v>
      </c>
      <c r="F699" s="1074"/>
      <c r="G699" s="1058">
        <f ca="1">G698</f>
        <v>0</v>
      </c>
      <c r="H699" s="1058">
        <f t="shared" ref="H699:Q699" ca="1" si="495">OFFSET(H699,0,-1)+H698</f>
        <v>-2537900</v>
      </c>
      <c r="I699" s="1058">
        <f t="shared" ca="1" si="495"/>
        <v>-3299440.8453359688</v>
      </c>
      <c r="J699" s="1058">
        <f t="shared" ca="1" si="495"/>
        <v>-3581281.3036359446</v>
      </c>
      <c r="K699" s="1058">
        <f t="shared" ca="1" si="495"/>
        <v>-3938537.4619388129</v>
      </c>
      <c r="L699" s="1058">
        <f t="shared" ca="1" si="495"/>
        <v>-2632634.65681554</v>
      </c>
      <c r="M699" s="1058">
        <f t="shared" ref="M699:N699" ca="1" si="496">OFFSET(M699,0,-1)+M698</f>
        <v>-898196.64516405761</v>
      </c>
      <c r="N699" s="1058">
        <f t="shared" ca="1" si="496"/>
        <v>1696459.5128590078</v>
      </c>
      <c r="O699" s="1058">
        <f t="shared" ref="O699:P699" ca="1" si="497">OFFSET(O699,0,-1)+O698</f>
        <v>5198627.6267497614</v>
      </c>
      <c r="P699" s="1058">
        <f t="shared" ca="1" si="497"/>
        <v>9913147.6815003101</v>
      </c>
      <c r="Q699" s="1258">
        <f t="shared" ca="1" si="495"/>
        <v>14329994.434887145</v>
      </c>
      <c r="R699" s="538"/>
      <c r="S699" s="319" t="s">
        <v>73</v>
      </c>
    </row>
    <row r="700" spans="1:19" ht="12" hidden="1" customHeight="1" x14ac:dyDescent="0.35">
      <c r="A700" s="530"/>
      <c r="B700" s="517" t="s">
        <v>1066</v>
      </c>
      <c r="C700" s="518"/>
      <c r="D700" s="1138"/>
      <c r="E700" s="337" t="s">
        <v>1067</v>
      </c>
      <c r="F700" s="1066"/>
      <c r="G700" s="1067">
        <f t="shared" ref="G700:Q700" si="498">DiscYearEquity</f>
        <v>0</v>
      </c>
      <c r="H700" s="1067">
        <f t="shared" si="498"/>
        <v>0</v>
      </c>
      <c r="I700" s="1067">
        <f t="shared" si="498"/>
        <v>0</v>
      </c>
      <c r="J700" s="1067">
        <f t="shared" si="498"/>
        <v>0</v>
      </c>
      <c r="K700" s="1067">
        <f t="shared" si="498"/>
        <v>0</v>
      </c>
      <c r="L700" s="1067">
        <f t="shared" si="498"/>
        <v>0</v>
      </c>
      <c r="M700" s="1067">
        <f t="shared" si="498"/>
        <v>0</v>
      </c>
      <c r="N700" s="1067">
        <f t="shared" si="498"/>
        <v>0</v>
      </c>
      <c r="O700" s="1067">
        <f t="shared" si="498"/>
        <v>0</v>
      </c>
      <c r="P700" s="1067">
        <f t="shared" si="498"/>
        <v>0</v>
      </c>
      <c r="Q700" s="1267">
        <f t="shared" si="498"/>
        <v>0</v>
      </c>
      <c r="R700" s="538"/>
      <c r="S700" s="319" t="s">
        <v>73</v>
      </c>
    </row>
    <row r="701" spans="1:19" ht="12" hidden="1" customHeight="1" x14ac:dyDescent="0.35">
      <c r="A701" s="235"/>
      <c r="B701" s="445"/>
      <c r="C701" s="434" t="s">
        <v>1068</v>
      </c>
      <c r="D701" s="1118"/>
      <c r="E701" s="324" t="s">
        <v>1069</v>
      </c>
      <c r="F701" s="971">
        <f ca="1">OFFSET($E$805,0,F$8)-SUM(OFFSET($E$805,0,F$8-1))-F504-F668</f>
        <v>0</v>
      </c>
      <c r="G701" s="1026">
        <f t="shared" ref="G701:Q701" ca="1" si="499">IF(OR(AND(G$5=0,NoZeroCol=1),AND(G$5=-99,NoResCol=1)),0,OFFSET($E$702,0,G$8)+OFFSET($E$703,0,G$8)+OFFSET($E$704,0,G$8)+G705+OFFSET($E$706,0,G$8))</f>
        <v>0</v>
      </c>
      <c r="H701" s="1026">
        <f t="shared" ca="1" si="499"/>
        <v>0</v>
      </c>
      <c r="I701" s="1026">
        <f t="shared" ca="1" si="499"/>
        <v>0</v>
      </c>
      <c r="J701" s="1026">
        <f t="shared" ca="1" si="499"/>
        <v>0</v>
      </c>
      <c r="K701" s="1026">
        <f t="shared" ca="1" si="499"/>
        <v>0</v>
      </c>
      <c r="L701" s="1026">
        <f t="shared" ca="1" si="499"/>
        <v>0</v>
      </c>
      <c r="M701" s="1026">
        <f t="shared" ref="M701:N701" ca="1" si="500">IF(OR(AND(M$5=0,NoZeroCol=1),AND(M$5=-99,NoResCol=1)),0,OFFSET($E$702,0,M$8)+OFFSET($E$703,0,M$8)+OFFSET($E$704,0,M$8)+M705+OFFSET($E$706,0,M$8))</f>
        <v>0</v>
      </c>
      <c r="N701" s="1026">
        <f t="shared" ca="1" si="500"/>
        <v>0</v>
      </c>
      <c r="O701" s="1026">
        <f t="shared" ref="O701:P701" ca="1" si="501">IF(OR(AND(O$5=0,NoZeroCol=1),AND(O$5=-99,NoResCol=1)),0,OFFSET($E$702,0,O$8)+OFFSET($E$703,0,O$8)+OFFSET($E$704,0,O$8)+O705+OFFSET($E$706,0,O$8))</f>
        <v>0</v>
      </c>
      <c r="P701" s="1026">
        <f t="shared" ca="1" si="501"/>
        <v>0</v>
      </c>
      <c r="Q701" s="1256">
        <f t="shared" ca="1" si="499"/>
        <v>0</v>
      </c>
      <c r="R701" s="321"/>
      <c r="S701" s="319" t="s">
        <v>73</v>
      </c>
    </row>
    <row r="702" spans="1:19" ht="12" hidden="1" customHeight="1" x14ac:dyDescent="0.35">
      <c r="A702" s="235"/>
      <c r="B702" s="445"/>
      <c r="C702" s="534" t="s">
        <v>1070</v>
      </c>
      <c r="D702" s="1117"/>
      <c r="E702" s="380" t="s">
        <v>1071</v>
      </c>
      <c r="F702" s="959"/>
      <c r="G702" s="1056"/>
      <c r="H702" s="1056"/>
      <c r="I702" s="1056"/>
      <c r="J702" s="1056"/>
      <c r="K702" s="1056"/>
      <c r="L702" s="1056"/>
      <c r="M702" s="1056"/>
      <c r="N702" s="1056"/>
      <c r="O702" s="1056"/>
      <c r="P702" s="1056"/>
      <c r="Q702" s="1273"/>
      <c r="R702" s="321"/>
      <c r="S702" s="319" t="s">
        <v>229</v>
      </c>
    </row>
    <row r="703" spans="1:19" ht="12" hidden="1" customHeight="1" x14ac:dyDescent="0.35">
      <c r="A703" s="235"/>
      <c r="B703" s="445"/>
      <c r="C703" s="539" t="s">
        <v>1072</v>
      </c>
      <c r="D703" s="1118"/>
      <c r="E703" s="324" t="s">
        <v>1073</v>
      </c>
      <c r="F703" s="971"/>
      <c r="G703" s="1025"/>
      <c r="H703" s="1025"/>
      <c r="I703" s="1025"/>
      <c r="J703" s="1025"/>
      <c r="K703" s="1025"/>
      <c r="L703" s="1025"/>
      <c r="M703" s="1025"/>
      <c r="N703" s="1025"/>
      <c r="O703" s="1025"/>
      <c r="P703" s="1025"/>
      <c r="Q703" s="1271"/>
      <c r="R703" s="321"/>
      <c r="S703" s="319" t="s">
        <v>229</v>
      </c>
    </row>
    <row r="704" spans="1:19" ht="12" hidden="1" customHeight="1" x14ac:dyDescent="0.35">
      <c r="A704" s="235"/>
      <c r="B704" s="445"/>
      <c r="C704" s="539" t="s">
        <v>1074</v>
      </c>
      <c r="D704" s="1118"/>
      <c r="E704" s="324" t="s">
        <v>1075</v>
      </c>
      <c r="F704" s="1075"/>
      <c r="G704" s="1025"/>
      <c r="H704" s="1025"/>
      <c r="I704" s="1025"/>
      <c r="J704" s="1025"/>
      <c r="K704" s="1025"/>
      <c r="L704" s="1025"/>
      <c r="M704" s="1025"/>
      <c r="N704" s="1025"/>
      <c r="O704" s="1025"/>
      <c r="P704" s="1025"/>
      <c r="Q704" s="1271"/>
      <c r="R704" s="321"/>
      <c r="S704" s="319" t="s">
        <v>229</v>
      </c>
    </row>
    <row r="705" spans="1:19" ht="12" hidden="1" customHeight="1" x14ac:dyDescent="0.35">
      <c r="A705" s="235"/>
      <c r="B705" s="445"/>
      <c r="C705" s="540" t="s">
        <v>1076</v>
      </c>
      <c r="D705" s="1139"/>
      <c r="E705" s="324" t="s">
        <v>1077</v>
      </c>
      <c r="F705" s="1075"/>
      <c r="G705" s="1063">
        <f t="shared" ref="G705:Q705" ca="1" si="502">OFFSET($E$429,0,G$8)-OFFSET($E$429,0,G$8-1)</f>
        <v>0</v>
      </c>
      <c r="H705" s="1063">
        <f t="shared" ca="1" si="502"/>
        <v>0</v>
      </c>
      <c r="I705" s="1063">
        <f t="shared" ca="1" si="502"/>
        <v>0</v>
      </c>
      <c r="J705" s="1063">
        <f t="shared" ca="1" si="502"/>
        <v>0</v>
      </c>
      <c r="K705" s="1063">
        <f t="shared" ca="1" si="502"/>
        <v>0</v>
      </c>
      <c r="L705" s="1063">
        <f t="shared" ca="1" si="502"/>
        <v>0</v>
      </c>
      <c r="M705" s="1063">
        <f t="shared" ca="1" si="502"/>
        <v>0</v>
      </c>
      <c r="N705" s="1063">
        <f t="shared" ca="1" si="502"/>
        <v>0</v>
      </c>
      <c r="O705" s="1063">
        <f t="shared" ca="1" si="502"/>
        <v>0</v>
      </c>
      <c r="P705" s="1063">
        <f t="shared" ca="1" si="502"/>
        <v>0</v>
      </c>
      <c r="Q705" s="1265">
        <f t="shared" ca="1" si="502"/>
        <v>0</v>
      </c>
      <c r="R705" s="321"/>
      <c r="S705" s="319" t="s">
        <v>6239</v>
      </c>
    </row>
    <row r="706" spans="1:19" ht="12" hidden="1" customHeight="1" x14ac:dyDescent="0.35">
      <c r="A706" s="235"/>
      <c r="B706" s="541"/>
      <c r="C706" s="537" t="s">
        <v>1078</v>
      </c>
      <c r="D706" s="1125"/>
      <c r="E706" s="385" t="s">
        <v>1079</v>
      </c>
      <c r="F706" s="961"/>
      <c r="G706" s="1030"/>
      <c r="H706" s="1030"/>
      <c r="I706" s="1030"/>
      <c r="J706" s="1030"/>
      <c r="K706" s="1030"/>
      <c r="L706" s="1030"/>
      <c r="M706" s="1030"/>
      <c r="N706" s="1030"/>
      <c r="O706" s="1030"/>
      <c r="P706" s="1030"/>
      <c r="Q706" s="1272"/>
      <c r="R706" s="321"/>
      <c r="S706" s="319" t="s">
        <v>229</v>
      </c>
    </row>
    <row r="707" spans="1:19" ht="14.15" customHeight="1" x14ac:dyDescent="0.35">
      <c r="A707" s="235"/>
      <c r="B707" s="517" t="s">
        <v>1080</v>
      </c>
      <c r="C707" s="518"/>
      <c r="D707" s="1138"/>
      <c r="E707" s="337" t="s">
        <v>1081</v>
      </c>
      <c r="F707" s="958">
        <f t="shared" ref="F707:Q707" ca="1" si="503">F$680+F$686+F$701</f>
        <v>0</v>
      </c>
      <c r="G707" s="1060">
        <f t="shared" ca="1" si="503"/>
        <v>0</v>
      </c>
      <c r="H707" s="1060">
        <f t="shared" ca="1" si="503"/>
        <v>-2537900</v>
      </c>
      <c r="I707" s="1060">
        <f t="shared" ca="1" si="503"/>
        <v>-761540.845335969</v>
      </c>
      <c r="J707" s="1060">
        <f t="shared" ca="1" si="503"/>
        <v>-281840.45829997584</v>
      </c>
      <c r="K707" s="1060">
        <f t="shared" ca="1" si="503"/>
        <v>-357256.15830286831</v>
      </c>
      <c r="L707" s="1060">
        <f t="shared" ca="1" si="503"/>
        <v>1305902.8051232728</v>
      </c>
      <c r="M707" s="1060">
        <f t="shared" ca="1" si="503"/>
        <v>1734438.0116514824</v>
      </c>
      <c r="N707" s="1060">
        <f t="shared" ca="1" si="503"/>
        <v>2594656.1580230654</v>
      </c>
      <c r="O707" s="1060">
        <f t="shared" ca="1" si="503"/>
        <v>3502168.1138907536</v>
      </c>
      <c r="P707" s="1060">
        <f t="shared" ca="1" si="503"/>
        <v>4714520.0547505487</v>
      </c>
      <c r="Q707" s="1263">
        <f t="shared" ca="1" si="503"/>
        <v>4416846.7533868337</v>
      </c>
      <c r="R707" s="321"/>
      <c r="S707" s="319" t="s">
        <v>644</v>
      </c>
    </row>
    <row r="708" spans="1:19" ht="14.15" customHeight="1" x14ac:dyDescent="0.35">
      <c r="A708" s="235"/>
      <c r="B708" s="341" t="s">
        <v>1082</v>
      </c>
      <c r="C708" s="511"/>
      <c r="D708" s="1144"/>
      <c r="E708" s="337" t="s">
        <v>1083</v>
      </c>
      <c r="F708" s="958">
        <f ca="1">OFFSET($E$779,0,F$8)</f>
        <v>0</v>
      </c>
      <c r="G708" s="1057">
        <f t="shared" ref="G708:Q708" ca="1" si="504">G707+SUM(OFFSET(G708,0,-1))</f>
        <v>0</v>
      </c>
      <c r="H708" s="1057">
        <f t="shared" ca="1" si="504"/>
        <v>-2537900</v>
      </c>
      <c r="I708" s="1057">
        <f t="shared" ca="1" si="504"/>
        <v>-3299440.8453359688</v>
      </c>
      <c r="J708" s="1057">
        <f t="shared" ca="1" si="504"/>
        <v>-3581281.3036359446</v>
      </c>
      <c r="K708" s="1057">
        <f t="shared" ca="1" si="504"/>
        <v>-3938537.4619388129</v>
      </c>
      <c r="L708" s="1057">
        <f t="shared" ca="1" si="504"/>
        <v>-2632634.65681554</v>
      </c>
      <c r="M708" s="1057">
        <f t="shared" ref="M708:N708" ca="1" si="505">M707+SUM(OFFSET(M708,0,-1))</f>
        <v>-898196.64516405761</v>
      </c>
      <c r="N708" s="1057">
        <f t="shared" ca="1" si="505"/>
        <v>1696459.5128590078</v>
      </c>
      <c r="O708" s="1057">
        <f t="shared" ref="O708:P708" ca="1" si="506">O707+SUM(OFFSET(O708,0,-1))</f>
        <v>5198627.6267497614</v>
      </c>
      <c r="P708" s="1057">
        <f t="shared" ca="1" si="506"/>
        <v>9913147.6815003101</v>
      </c>
      <c r="Q708" s="1274">
        <f t="shared" ca="1" si="504"/>
        <v>14329994.434887145</v>
      </c>
      <c r="R708" s="321"/>
      <c r="S708" s="319" t="s">
        <v>644</v>
      </c>
    </row>
    <row r="709" spans="1:19" ht="5.15" customHeight="1" x14ac:dyDescent="0.35">
      <c r="A709" s="235"/>
      <c r="B709" s="235"/>
      <c r="C709" s="235"/>
      <c r="D709" s="235"/>
      <c r="E709" s="502" t="s">
        <v>39</v>
      </c>
      <c r="F709" s="317"/>
      <c r="G709" s="235"/>
      <c r="H709" s="235"/>
      <c r="I709" s="235"/>
      <c r="J709" s="235"/>
      <c r="K709" s="235"/>
      <c r="L709" s="235"/>
      <c r="M709" s="235"/>
      <c r="N709" s="235"/>
      <c r="O709" s="235"/>
      <c r="P709" s="235"/>
      <c r="Q709" s="235"/>
      <c r="R709" s="321"/>
      <c r="S709" s="319" t="s">
        <v>66</v>
      </c>
    </row>
    <row r="710" spans="1:19" ht="11.25" customHeight="1" x14ac:dyDescent="0.35">
      <c r="A710" s="235"/>
      <c r="B710" s="331" t="s">
        <v>1084</v>
      </c>
      <c r="C710" s="235"/>
      <c r="D710" s="235"/>
      <c r="E710" s="434" t="s">
        <v>1085</v>
      </c>
      <c r="F710" s="434"/>
      <c r="G710" s="542"/>
      <c r="H710" s="235"/>
      <c r="I710" s="235"/>
      <c r="J710" s="235"/>
      <c r="K710" s="235"/>
      <c r="L710" s="235"/>
      <c r="M710" s="235"/>
      <c r="N710" s="235"/>
      <c r="O710" s="235"/>
      <c r="P710" s="235"/>
      <c r="Q710" s="235"/>
      <c r="R710" s="321"/>
      <c r="S710" s="319" t="s">
        <v>54</v>
      </c>
    </row>
    <row r="711" spans="1:19" ht="12" customHeight="1" x14ac:dyDescent="0.35">
      <c r="A711" s="235"/>
      <c r="B711" s="235"/>
      <c r="C711" s="235"/>
      <c r="D711" s="235"/>
      <c r="E711" s="434" t="s">
        <v>1086</v>
      </c>
      <c r="F711" s="434"/>
      <c r="G711" s="235"/>
      <c r="H711" s="235"/>
      <c r="I711" s="235"/>
      <c r="J711" s="235"/>
      <c r="K711" s="235"/>
      <c r="L711" s="235"/>
      <c r="M711" s="235"/>
      <c r="N711" s="235"/>
      <c r="O711" s="235"/>
      <c r="P711" s="235"/>
      <c r="Q711" s="235"/>
      <c r="R711" s="321"/>
      <c r="S711" s="319" t="s">
        <v>54</v>
      </c>
    </row>
    <row r="712" spans="1:19" ht="16" customHeight="1" x14ac:dyDescent="0.35">
      <c r="A712" s="235"/>
      <c r="B712" s="522" t="s">
        <v>1087</v>
      </c>
      <c r="C712" s="434"/>
      <c r="D712" s="434"/>
      <c r="E712" s="324" t="s">
        <v>1088</v>
      </c>
      <c r="F712" s="317"/>
      <c r="G712" s="521"/>
      <c r="H712" s="521"/>
      <c r="I712" s="521"/>
      <c r="J712" s="521"/>
      <c r="K712" s="521"/>
      <c r="L712" s="521"/>
      <c r="M712" s="521"/>
      <c r="N712" s="521"/>
      <c r="O712" s="521"/>
      <c r="P712" s="521"/>
      <c r="Q712" s="521"/>
      <c r="R712" s="321"/>
      <c r="S712" s="319" t="s">
        <v>66</v>
      </c>
    </row>
    <row r="713" spans="1:19" ht="11.25" customHeight="1" x14ac:dyDescent="0.35">
      <c r="A713" s="401"/>
      <c r="B713" s="334" t="str">
        <f>IF(PrintMode=0,"           ","")&amp;IF(Figures&gt;1,Figures&amp;" ","")&amp;Currency</f>
        <v xml:space="preserve">           Euro</v>
      </c>
      <c r="C713" s="435"/>
      <c r="D713" s="1104"/>
      <c r="E713" s="337" t="s">
        <v>1089</v>
      </c>
      <c r="F713" s="950" t="str">
        <f>F$1&amp;"/"&amp;F$3</f>
        <v>12/2018</v>
      </c>
      <c r="G713" s="951" t="str">
        <f>G$1&amp;"/"&amp;G$3</f>
        <v>9/2019</v>
      </c>
      <c r="H713" s="952" t="str">
        <f t="shared" ref="H713:P713" si="507">H$440</f>
        <v>9/2019</v>
      </c>
      <c r="I713" s="952" t="str">
        <f t="shared" si="507"/>
        <v>10/2019</v>
      </c>
      <c r="J713" s="952" t="str">
        <f t="shared" si="507"/>
        <v>11/2019</v>
      </c>
      <c r="K713" s="952" t="str">
        <f t="shared" si="507"/>
        <v>12/2019</v>
      </c>
      <c r="L713" s="952" t="str">
        <f t="shared" si="507"/>
        <v>12/2020</v>
      </c>
      <c r="M713" s="952" t="str">
        <f t="shared" si="507"/>
        <v>12/2021</v>
      </c>
      <c r="N713" s="952" t="str">
        <f t="shared" si="507"/>
        <v>12/2022</v>
      </c>
      <c r="O713" s="952" t="str">
        <f t="shared" si="507"/>
        <v>12/2023</v>
      </c>
      <c r="P713" s="952" t="str">
        <f t="shared" si="507"/>
        <v>12/2024</v>
      </c>
      <c r="Q713" s="947" t="str">
        <f ca="1">Q$16</f>
        <v>Residual</v>
      </c>
      <c r="R713" s="321"/>
      <c r="S713" s="319" t="s">
        <v>66</v>
      </c>
    </row>
    <row r="714" spans="1:19" ht="11.25" customHeight="1" x14ac:dyDescent="0.35">
      <c r="A714" s="235"/>
      <c r="B714" s="523" t="s">
        <v>59</v>
      </c>
      <c r="C714" s="543"/>
      <c r="D714" s="1105"/>
      <c r="E714" s="392" t="s">
        <v>1090</v>
      </c>
      <c r="F714" s="1076">
        <f>F$17</f>
        <v>12</v>
      </c>
      <c r="G714" s="1077"/>
      <c r="H714" s="1077">
        <f t="shared" ref="H714:Q714" si="508">H$17</f>
        <v>1</v>
      </c>
      <c r="I714" s="1077">
        <f t="shared" si="508"/>
        <v>1</v>
      </c>
      <c r="J714" s="1077">
        <f t="shared" si="508"/>
        <v>1</v>
      </c>
      <c r="K714" s="1077">
        <f t="shared" si="508"/>
        <v>1</v>
      </c>
      <c r="L714" s="1077">
        <f t="shared" si="508"/>
        <v>12</v>
      </c>
      <c r="M714" s="1077">
        <f t="shared" si="508"/>
        <v>12</v>
      </c>
      <c r="N714" s="1077">
        <f t="shared" si="508"/>
        <v>12</v>
      </c>
      <c r="O714" s="1077">
        <f t="shared" si="508"/>
        <v>12</v>
      </c>
      <c r="P714" s="1077">
        <f t="shared" si="508"/>
        <v>12</v>
      </c>
      <c r="Q714" s="948" t="str">
        <f t="shared" ca="1" si="508"/>
        <v>(12/2024)</v>
      </c>
      <c r="R714" s="321"/>
      <c r="S714" s="319" t="s">
        <v>148</v>
      </c>
    </row>
    <row r="715" spans="1:19" ht="13" customHeight="1" x14ac:dyDescent="0.35">
      <c r="A715" s="235"/>
      <c r="B715" s="523" t="s">
        <v>1091</v>
      </c>
      <c r="C715" s="503"/>
      <c r="D715" s="1128" t="s">
        <v>1092</v>
      </c>
      <c r="E715" s="503" t="s">
        <v>1093</v>
      </c>
      <c r="F715" s="1054">
        <f t="shared" ref="F715:Q715" ca="1" si="509">F$781</f>
        <v>0</v>
      </c>
      <c r="G715" s="1054">
        <f t="shared" ca="1" si="509"/>
        <v>0</v>
      </c>
      <c r="H715" s="1054">
        <f t="shared" ca="1" si="509"/>
        <v>566933.33333333326</v>
      </c>
      <c r="I715" s="1054">
        <f t="shared" ca="1" si="509"/>
        <v>639375.56238838285</v>
      </c>
      <c r="J715" s="1054">
        <f t="shared" ca="1" si="509"/>
        <v>715709.95262499573</v>
      </c>
      <c r="K715" s="1054">
        <f t="shared" ca="1" si="509"/>
        <v>716033.476662979</v>
      </c>
      <c r="L715" s="1054">
        <f t="shared" ca="1" si="509"/>
        <v>2041877.6933471281</v>
      </c>
      <c r="M715" s="1054">
        <f t="shared" ca="1" si="509"/>
        <v>4129809.1087852102</v>
      </c>
      <c r="N715" s="1054">
        <f t="shared" ca="1" si="509"/>
        <v>7151103.2801968623</v>
      </c>
      <c r="O715" s="1054">
        <f t="shared" ca="1" si="509"/>
        <v>11292637.530801132</v>
      </c>
      <c r="P715" s="1054">
        <f t="shared" ca="1" si="509"/>
        <v>16805116.405760113</v>
      </c>
      <c r="Q715" s="1051">
        <f t="shared" ca="1" si="509"/>
        <v>14329994.434887145</v>
      </c>
      <c r="R715" s="321"/>
      <c r="S715" s="319" t="s">
        <v>71</v>
      </c>
    </row>
    <row r="716" spans="1:19" ht="13" customHeight="1" x14ac:dyDescent="0.35">
      <c r="A716" s="235"/>
      <c r="B716" s="445" t="s">
        <v>1094</v>
      </c>
      <c r="C716" s="434"/>
      <c r="D716" s="1118"/>
      <c r="E716" s="434" t="s">
        <v>1095</v>
      </c>
      <c r="F716" s="1036">
        <f t="shared" ref="F716:Q716" ca="1" si="510">F$772</f>
        <v>0</v>
      </c>
      <c r="G716" s="1036">
        <f t="shared" ca="1" si="510"/>
        <v>0</v>
      </c>
      <c r="H716" s="1036">
        <f t="shared" ca="1" si="510"/>
        <v>1498333.3333333333</v>
      </c>
      <c r="I716" s="1036">
        <f t="shared" ca="1" si="510"/>
        <v>1974166.6666666665</v>
      </c>
      <c r="J716" s="1036">
        <f t="shared" ca="1" si="510"/>
        <v>2298833.3333333335</v>
      </c>
      <c r="K716" s="1036">
        <f t="shared" ca="1" si="510"/>
        <v>2622333.3333333335</v>
      </c>
      <c r="L716" s="1036">
        <f t="shared" ca="1" si="510"/>
        <v>2319958.3333333335</v>
      </c>
      <c r="M716" s="1036">
        <f t="shared" ca="1" si="510"/>
        <v>2143677.0833333335</v>
      </c>
      <c r="N716" s="1036">
        <f t="shared" ca="1" si="510"/>
        <v>1921341.1458333335</v>
      </c>
      <c r="O716" s="1036">
        <f t="shared" ca="1" si="510"/>
        <v>1765714.1927083335</v>
      </c>
      <c r="P716" s="1036">
        <f t="shared" ca="1" si="510"/>
        <v>1589806.4778645835</v>
      </c>
      <c r="Q716" s="1015">
        <f t="shared" ca="1" si="510"/>
        <v>0</v>
      </c>
      <c r="R716" s="321"/>
      <c r="S716" s="319" t="s">
        <v>71</v>
      </c>
    </row>
    <row r="717" spans="1:19" ht="13" customHeight="1" x14ac:dyDescent="0.35">
      <c r="A717" s="235"/>
      <c r="B717" s="445"/>
      <c r="C717" s="434" t="s">
        <v>1096</v>
      </c>
      <c r="D717" s="1123"/>
      <c r="E717" s="434" t="s">
        <v>1097</v>
      </c>
      <c r="F717" s="1026">
        <f t="shared" ref="F717:Q717" ca="1" si="511">F718+F722+F726+F730</f>
        <v>0</v>
      </c>
      <c r="G717" s="1026">
        <f t="shared" ca="1" si="511"/>
        <v>0</v>
      </c>
      <c r="H717" s="1026">
        <f t="shared" ca="1" si="511"/>
        <v>0</v>
      </c>
      <c r="I717" s="1026">
        <f t="shared" ca="1" si="511"/>
        <v>0</v>
      </c>
      <c r="J717" s="1026">
        <f t="shared" ca="1" si="511"/>
        <v>0</v>
      </c>
      <c r="K717" s="1026">
        <f t="shared" ca="1" si="511"/>
        <v>0</v>
      </c>
      <c r="L717" s="1026">
        <f t="shared" ca="1" si="511"/>
        <v>0</v>
      </c>
      <c r="M717" s="1026">
        <f t="shared" ref="M717:N717" ca="1" si="512">M718+M722+M726+M730</f>
        <v>0</v>
      </c>
      <c r="N717" s="1026">
        <f t="shared" ca="1" si="512"/>
        <v>0</v>
      </c>
      <c r="O717" s="1026">
        <f t="shared" ref="O717:P717" ca="1" si="513">O718+O722+O726+O730</f>
        <v>0</v>
      </c>
      <c r="P717" s="1026">
        <f t="shared" ca="1" si="513"/>
        <v>0</v>
      </c>
      <c r="Q717" s="512">
        <f t="shared" ca="1" si="511"/>
        <v>0</v>
      </c>
      <c r="R717" s="321"/>
      <c r="S717" s="319" t="s">
        <v>148</v>
      </c>
    </row>
    <row r="718" spans="1:19" ht="13" hidden="1" customHeight="1" x14ac:dyDescent="0.35">
      <c r="A718" s="235"/>
      <c r="B718" s="445"/>
      <c r="C718" s="544" t="s">
        <v>1098</v>
      </c>
      <c r="D718" s="1129"/>
      <c r="E718" s="434" t="s">
        <v>1099</v>
      </c>
      <c r="F718" s="1078">
        <f ca="1">F719+OFFSET($E720,0,F$8)</f>
        <v>0</v>
      </c>
      <c r="G718" s="1078">
        <f t="shared" ref="G718:Q718" ca="1" si="514">G719+G720</f>
        <v>0</v>
      </c>
      <c r="H718" s="1078">
        <f t="shared" ca="1" si="514"/>
        <v>0</v>
      </c>
      <c r="I718" s="1078">
        <f t="shared" ca="1" si="514"/>
        <v>0</v>
      </c>
      <c r="J718" s="1078">
        <f t="shared" ca="1" si="514"/>
        <v>0</v>
      </c>
      <c r="K718" s="1078">
        <f t="shared" ca="1" si="514"/>
        <v>0</v>
      </c>
      <c r="L718" s="1078">
        <f t="shared" ca="1" si="514"/>
        <v>0</v>
      </c>
      <c r="M718" s="1078">
        <f t="shared" ref="M718:N718" ca="1" si="515">M719+M720</f>
        <v>0</v>
      </c>
      <c r="N718" s="1078">
        <f t="shared" ca="1" si="515"/>
        <v>0</v>
      </c>
      <c r="O718" s="1078">
        <f t="shared" ref="O718:P718" ca="1" si="516">O719+O720</f>
        <v>0</v>
      </c>
      <c r="P718" s="1078">
        <f t="shared" ca="1" si="516"/>
        <v>0</v>
      </c>
      <c r="Q718" s="545">
        <f t="shared" ca="1" si="514"/>
        <v>0</v>
      </c>
      <c r="R718" s="321"/>
      <c r="S718" s="319" t="s">
        <v>82</v>
      </c>
    </row>
    <row r="719" spans="1:19" ht="13" hidden="1" customHeight="1" x14ac:dyDescent="0.35">
      <c r="A719" s="235"/>
      <c r="B719" s="546"/>
      <c r="C719" s="547" t="s">
        <v>1100</v>
      </c>
      <c r="D719" s="1130"/>
      <c r="E719" s="586" t="s">
        <v>1101</v>
      </c>
      <c r="F719" s="1079">
        <v>0</v>
      </c>
      <c r="G719" s="1079">
        <v>0</v>
      </c>
      <c r="H719" s="1079">
        <v>0</v>
      </c>
      <c r="I719" s="1079">
        <v>0</v>
      </c>
      <c r="J719" s="1079">
        <v>0</v>
      </c>
      <c r="K719" s="1079">
        <v>0</v>
      </c>
      <c r="L719" s="1079">
        <v>0</v>
      </c>
      <c r="M719" s="1079">
        <v>0</v>
      </c>
      <c r="N719" s="1079">
        <v>0</v>
      </c>
      <c r="O719" s="1079">
        <v>0</v>
      </c>
      <c r="P719" s="1079">
        <v>0</v>
      </c>
      <c r="Q719" s="577">
        <v>0</v>
      </c>
      <c r="R719" s="321"/>
      <c r="S719" s="319" t="s">
        <v>903</v>
      </c>
    </row>
    <row r="720" spans="1:19" ht="13" hidden="1" customHeight="1" x14ac:dyDescent="0.35">
      <c r="A720" s="235"/>
      <c r="B720" s="445"/>
      <c r="C720" s="549" t="s">
        <v>1098</v>
      </c>
      <c r="D720" s="1119">
        <f ca="1">OFFSET(D720,0,MAX(2,$D$7-5))</f>
        <v>0</v>
      </c>
      <c r="E720" s="349" t="s">
        <v>1102</v>
      </c>
      <c r="F720" s="1080"/>
      <c r="G720" s="1081">
        <f ca="1">OFFSET(G720,0,-1)+OFFSET(G720,1,0)+G$1146</f>
        <v>0</v>
      </c>
      <c r="H720" s="1081">
        <f t="shared" ref="H720:Q720" ca="1" si="517">OFFSET(H720,0,-1)+OFFSET(H720,1,0)+H$1146</f>
        <v>0</v>
      </c>
      <c r="I720" s="1081">
        <f t="shared" ca="1" si="517"/>
        <v>0</v>
      </c>
      <c r="J720" s="1081">
        <f t="shared" ca="1" si="517"/>
        <v>0</v>
      </c>
      <c r="K720" s="1081">
        <f t="shared" ca="1" si="517"/>
        <v>0</v>
      </c>
      <c r="L720" s="1081">
        <f t="shared" ca="1" si="517"/>
        <v>0</v>
      </c>
      <c r="M720" s="1081">
        <f t="shared" ca="1" si="517"/>
        <v>0</v>
      </c>
      <c r="N720" s="1081">
        <f t="shared" ca="1" si="517"/>
        <v>0</v>
      </c>
      <c r="O720" s="1081">
        <f t="shared" ca="1" si="517"/>
        <v>0</v>
      </c>
      <c r="P720" s="1081">
        <f t="shared" ca="1" si="517"/>
        <v>0</v>
      </c>
      <c r="Q720" s="550">
        <f t="shared" ca="1" si="517"/>
        <v>0</v>
      </c>
      <c r="R720" s="321"/>
      <c r="S720" s="319" t="s">
        <v>903</v>
      </c>
    </row>
    <row r="721" spans="1:19" ht="16" hidden="1" customHeight="1" x14ac:dyDescent="0.35">
      <c r="A721" s="235"/>
      <c r="B721" s="445"/>
      <c r="C721" s="552" t="s">
        <v>1103</v>
      </c>
      <c r="D721" s="1131">
        <v>0</v>
      </c>
      <c r="E721" s="592" t="s">
        <v>1104</v>
      </c>
      <c r="F721" s="1082"/>
      <c r="G721" s="1082">
        <f>IF(AND(G$5=0,NoZeroCol=1),0,G$1155)</f>
        <v>0</v>
      </c>
      <c r="H721" s="1082">
        <f t="shared" ref="H721:P721" ca="1" si="518">IF(H$1=FinMonth,MIN(0,MAX(-IF(BalDepr01=1,$D720,OFFSET(H720,0,-1))*$D721/100,-OFFSET(H720,0,-1))),0)+H$1155</f>
        <v>0</v>
      </c>
      <c r="I721" s="1082">
        <f t="shared" ca="1" si="518"/>
        <v>0</v>
      </c>
      <c r="J721" s="1082">
        <f t="shared" ca="1" si="518"/>
        <v>0</v>
      </c>
      <c r="K721" s="1082">
        <f t="shared" ca="1" si="518"/>
        <v>0</v>
      </c>
      <c r="L721" s="1082">
        <f t="shared" ca="1" si="518"/>
        <v>0</v>
      </c>
      <c r="M721" s="1082">
        <f t="shared" ca="1" si="518"/>
        <v>0</v>
      </c>
      <c r="N721" s="1082">
        <f t="shared" ca="1" si="518"/>
        <v>0</v>
      </c>
      <c r="O721" s="1082">
        <f t="shared" ca="1" si="518"/>
        <v>0</v>
      </c>
      <c r="P721" s="1082">
        <f t="shared" ca="1" si="518"/>
        <v>0</v>
      </c>
      <c r="Q721" s="1052"/>
      <c r="R721" s="321"/>
      <c r="S721" s="319" t="s">
        <v>903</v>
      </c>
    </row>
    <row r="722" spans="1:19" ht="13" hidden="1" customHeight="1" x14ac:dyDescent="0.35">
      <c r="A722" s="235"/>
      <c r="B722" s="445"/>
      <c r="C722" s="544" t="s">
        <v>1105</v>
      </c>
      <c r="D722" s="1129"/>
      <c r="E722" s="434" t="s">
        <v>1106</v>
      </c>
      <c r="F722" s="1078">
        <f ca="1">F723+OFFSET($E724,0,F$8)</f>
        <v>0</v>
      </c>
      <c r="G722" s="1078">
        <f t="shared" ref="G722:Q722" ca="1" si="519">G723+G724</f>
        <v>0</v>
      </c>
      <c r="H722" s="1078">
        <f t="shared" ca="1" si="519"/>
        <v>0</v>
      </c>
      <c r="I722" s="1078">
        <f t="shared" ca="1" si="519"/>
        <v>0</v>
      </c>
      <c r="J722" s="1078">
        <f t="shared" ca="1" si="519"/>
        <v>0</v>
      </c>
      <c r="K722" s="1078">
        <f t="shared" ca="1" si="519"/>
        <v>0</v>
      </c>
      <c r="L722" s="1078">
        <f t="shared" ca="1" si="519"/>
        <v>0</v>
      </c>
      <c r="M722" s="1078">
        <f t="shared" ref="M722:N722" ca="1" si="520">M723+M724</f>
        <v>0</v>
      </c>
      <c r="N722" s="1078">
        <f t="shared" ca="1" si="520"/>
        <v>0</v>
      </c>
      <c r="O722" s="1078">
        <f t="shared" ref="O722:P722" ca="1" si="521">O723+O724</f>
        <v>0</v>
      </c>
      <c r="P722" s="1078">
        <f t="shared" ca="1" si="521"/>
        <v>0</v>
      </c>
      <c r="Q722" s="545">
        <f t="shared" ca="1" si="519"/>
        <v>0</v>
      </c>
      <c r="R722" s="321"/>
      <c r="S722" s="319" t="s">
        <v>82</v>
      </c>
    </row>
    <row r="723" spans="1:19" ht="13" hidden="1" customHeight="1" x14ac:dyDescent="0.35">
      <c r="A723" s="235"/>
      <c r="B723" s="445"/>
      <c r="C723" s="547" t="s">
        <v>1107</v>
      </c>
      <c r="D723" s="1130"/>
      <c r="E723" s="586" t="s">
        <v>1108</v>
      </c>
      <c r="F723" s="1079">
        <v>0</v>
      </c>
      <c r="G723" s="1079">
        <v>0</v>
      </c>
      <c r="H723" s="1079">
        <v>0</v>
      </c>
      <c r="I723" s="1079">
        <v>0</v>
      </c>
      <c r="J723" s="1079">
        <v>0</v>
      </c>
      <c r="K723" s="1079">
        <v>0</v>
      </c>
      <c r="L723" s="1079">
        <v>0</v>
      </c>
      <c r="M723" s="1079">
        <v>0</v>
      </c>
      <c r="N723" s="1079">
        <v>0</v>
      </c>
      <c r="O723" s="1079">
        <v>0</v>
      </c>
      <c r="P723" s="1079">
        <v>0</v>
      </c>
      <c r="Q723" s="577">
        <v>0</v>
      </c>
      <c r="R723" s="321"/>
      <c r="S723" s="319" t="s">
        <v>903</v>
      </c>
    </row>
    <row r="724" spans="1:19" ht="13" hidden="1" customHeight="1" x14ac:dyDescent="0.35">
      <c r="A724" s="235"/>
      <c r="B724" s="445"/>
      <c r="C724" s="549" t="s">
        <v>1105</v>
      </c>
      <c r="D724" s="1119">
        <f ca="1">OFFSET(D724,0,MAX(2,$D$7-5))</f>
        <v>0</v>
      </c>
      <c r="E724" s="349" t="s">
        <v>1109</v>
      </c>
      <c r="F724" s="1080"/>
      <c r="G724" s="1081">
        <f ca="1">OFFSET(G724,0,-1)+OFFSET(G724,1,0)+G$1147</f>
        <v>0</v>
      </c>
      <c r="H724" s="1081">
        <f t="shared" ref="H724:Q724" ca="1" si="522">OFFSET(H724,0,-1)+OFFSET(H724,1,0)+H$1147</f>
        <v>0</v>
      </c>
      <c r="I724" s="1081">
        <f t="shared" ca="1" si="522"/>
        <v>0</v>
      </c>
      <c r="J724" s="1081">
        <f t="shared" ca="1" si="522"/>
        <v>0</v>
      </c>
      <c r="K724" s="1081">
        <f t="shared" ca="1" si="522"/>
        <v>0</v>
      </c>
      <c r="L724" s="1081">
        <f t="shared" ca="1" si="522"/>
        <v>0</v>
      </c>
      <c r="M724" s="1081">
        <f t="shared" ca="1" si="522"/>
        <v>0</v>
      </c>
      <c r="N724" s="1081">
        <f t="shared" ca="1" si="522"/>
        <v>0</v>
      </c>
      <c r="O724" s="1081">
        <f t="shared" ca="1" si="522"/>
        <v>0</v>
      </c>
      <c r="P724" s="1081">
        <f t="shared" ca="1" si="522"/>
        <v>0</v>
      </c>
      <c r="Q724" s="550">
        <f t="shared" ca="1" si="522"/>
        <v>0</v>
      </c>
      <c r="R724" s="321"/>
      <c r="S724" s="319" t="s">
        <v>903</v>
      </c>
    </row>
    <row r="725" spans="1:19" ht="16" hidden="1" customHeight="1" x14ac:dyDescent="0.35">
      <c r="A725" s="235"/>
      <c r="B725" s="445"/>
      <c r="C725" s="552" t="s">
        <v>1103</v>
      </c>
      <c r="D725" s="1131">
        <v>0</v>
      </c>
      <c r="E725" s="592" t="s">
        <v>1110</v>
      </c>
      <c r="F725" s="1082"/>
      <c r="G725" s="1082">
        <f>IF(AND(G$5=0,NoZeroCol=1),0,G$1157)</f>
        <v>0</v>
      </c>
      <c r="H725" s="1082">
        <f t="shared" ref="H725:P725" ca="1" si="523">IF(H$1=FinMonth,MIN(0,MAX(-IF(BalDepr02=1,$D724,OFFSET(H724,0,-1))*$D725/100,-OFFSET(H724,0,-1))),0)+H$1157</f>
        <v>0</v>
      </c>
      <c r="I725" s="1082">
        <f t="shared" ca="1" si="523"/>
        <v>0</v>
      </c>
      <c r="J725" s="1082">
        <f t="shared" ca="1" si="523"/>
        <v>0</v>
      </c>
      <c r="K725" s="1082">
        <f t="shared" ca="1" si="523"/>
        <v>0</v>
      </c>
      <c r="L725" s="1082">
        <f t="shared" ca="1" si="523"/>
        <v>0</v>
      </c>
      <c r="M725" s="1082">
        <f t="shared" ca="1" si="523"/>
        <v>0</v>
      </c>
      <c r="N725" s="1082">
        <f t="shared" ca="1" si="523"/>
        <v>0</v>
      </c>
      <c r="O725" s="1082">
        <f t="shared" ca="1" si="523"/>
        <v>0</v>
      </c>
      <c r="P725" s="1082">
        <f t="shared" ca="1" si="523"/>
        <v>0</v>
      </c>
      <c r="Q725" s="1052"/>
      <c r="R725" s="321"/>
      <c r="S725" s="319" t="s">
        <v>903</v>
      </c>
    </row>
    <row r="726" spans="1:19" ht="13" hidden="1" customHeight="1" x14ac:dyDescent="0.35">
      <c r="A726" s="235"/>
      <c r="B726" s="445"/>
      <c r="C726" s="544" t="s">
        <v>781</v>
      </c>
      <c r="D726" s="1129"/>
      <c r="E726" s="434" t="s">
        <v>1111</v>
      </c>
      <c r="F726" s="1078">
        <f ca="1">F727+OFFSET($E728,0,F$8)</f>
        <v>0</v>
      </c>
      <c r="G726" s="1078">
        <f t="shared" ref="G726:Q726" ca="1" si="524">G727+G728</f>
        <v>0</v>
      </c>
      <c r="H726" s="1078">
        <f t="shared" ca="1" si="524"/>
        <v>0</v>
      </c>
      <c r="I726" s="1078">
        <f t="shared" ca="1" si="524"/>
        <v>0</v>
      </c>
      <c r="J726" s="1078">
        <f t="shared" ca="1" si="524"/>
        <v>0</v>
      </c>
      <c r="K726" s="1078">
        <f t="shared" ca="1" si="524"/>
        <v>0</v>
      </c>
      <c r="L726" s="1078">
        <f t="shared" ca="1" si="524"/>
        <v>0</v>
      </c>
      <c r="M726" s="1078">
        <f t="shared" ref="M726:N726" ca="1" si="525">M727+M728</f>
        <v>0</v>
      </c>
      <c r="N726" s="1078">
        <f t="shared" ca="1" si="525"/>
        <v>0</v>
      </c>
      <c r="O726" s="1078">
        <f t="shared" ref="O726:P726" ca="1" si="526">O727+O728</f>
        <v>0</v>
      </c>
      <c r="P726" s="1078">
        <f t="shared" ca="1" si="526"/>
        <v>0</v>
      </c>
      <c r="Q726" s="545">
        <f t="shared" ca="1" si="524"/>
        <v>0</v>
      </c>
      <c r="R726" s="321"/>
      <c r="S726" s="319" t="s">
        <v>82</v>
      </c>
    </row>
    <row r="727" spans="1:19" ht="13" hidden="1" customHeight="1" x14ac:dyDescent="0.35">
      <c r="A727" s="235"/>
      <c r="B727" s="445"/>
      <c r="C727" s="547" t="s">
        <v>1112</v>
      </c>
      <c r="D727" s="1130"/>
      <c r="E727" s="586" t="s">
        <v>1113</v>
      </c>
      <c r="F727" s="1079">
        <v>0</v>
      </c>
      <c r="G727" s="1079">
        <v>0</v>
      </c>
      <c r="H727" s="1079">
        <v>0</v>
      </c>
      <c r="I727" s="1079">
        <v>0</v>
      </c>
      <c r="J727" s="1079">
        <v>0</v>
      </c>
      <c r="K727" s="1079">
        <v>0</v>
      </c>
      <c r="L727" s="1079">
        <v>0</v>
      </c>
      <c r="M727" s="1079">
        <v>0</v>
      </c>
      <c r="N727" s="1079">
        <v>0</v>
      </c>
      <c r="O727" s="1079">
        <v>0</v>
      </c>
      <c r="P727" s="1079">
        <v>0</v>
      </c>
      <c r="Q727" s="577">
        <v>0</v>
      </c>
      <c r="R727" s="321"/>
      <c r="S727" s="319" t="s">
        <v>903</v>
      </c>
    </row>
    <row r="728" spans="1:19" ht="13" hidden="1" customHeight="1" x14ac:dyDescent="0.35">
      <c r="A728" s="235"/>
      <c r="B728" s="554"/>
      <c r="C728" s="549" t="s">
        <v>781</v>
      </c>
      <c r="D728" s="1119">
        <f ca="1">OFFSET(D728,0,MAX(2,$D$7-5))</f>
        <v>0</v>
      </c>
      <c r="E728" s="349" t="s">
        <v>1114</v>
      </c>
      <c r="F728" s="1080"/>
      <c r="G728" s="1081">
        <f ca="1">OFFSET(G728,0,-1)+OFFSET(G728,1,0)+G$1099</f>
        <v>0</v>
      </c>
      <c r="H728" s="1081">
        <f t="shared" ref="H728:P728" ca="1" si="527">OFFSET(H728,0,-1)+OFFSET(H728,1,0)+H$1099</f>
        <v>0</v>
      </c>
      <c r="I728" s="1081">
        <f t="shared" ca="1" si="527"/>
        <v>0</v>
      </c>
      <c r="J728" s="1081">
        <f t="shared" ca="1" si="527"/>
        <v>0</v>
      </c>
      <c r="K728" s="1081">
        <f t="shared" ca="1" si="527"/>
        <v>0</v>
      </c>
      <c r="L728" s="1081">
        <f t="shared" ca="1" si="527"/>
        <v>0</v>
      </c>
      <c r="M728" s="1081">
        <f t="shared" ca="1" si="527"/>
        <v>0</v>
      </c>
      <c r="N728" s="1081">
        <f t="shared" ca="1" si="527"/>
        <v>0</v>
      </c>
      <c r="O728" s="1081">
        <f t="shared" ca="1" si="527"/>
        <v>0</v>
      </c>
      <c r="P728" s="1081">
        <f t="shared" ca="1" si="527"/>
        <v>0</v>
      </c>
      <c r="Q728" s="550">
        <f ca="1">OFFSET(Q728,0,-1)+OFFSET(Q728,1,0)</f>
        <v>0</v>
      </c>
      <c r="R728" s="321"/>
      <c r="S728" s="319" t="s">
        <v>903</v>
      </c>
    </row>
    <row r="729" spans="1:19" ht="16" hidden="1" customHeight="1" x14ac:dyDescent="0.35">
      <c r="A729" s="235"/>
      <c r="B729" s="554"/>
      <c r="C729" s="555" t="s">
        <v>1103</v>
      </c>
      <c r="D729" s="1131">
        <v>0</v>
      </c>
      <c r="E729" s="592" t="s">
        <v>1115</v>
      </c>
      <c r="F729" s="1082"/>
      <c r="G729" s="1082">
        <f>IF(AND(G$5=0,NoZeroCol=1),0,G$1100)</f>
        <v>0</v>
      </c>
      <c r="H729" s="1082">
        <f t="shared" ref="H729:P729" ca="1" si="528">IF(H$1=FinMonth,MIN(0,MAX(-IF(BalDepr03=1,$D728,OFFSET(H728,0,-1))*$D729/100,-OFFSET(H728,0,-1))),0)+H$1100</f>
        <v>0</v>
      </c>
      <c r="I729" s="1082">
        <f t="shared" ca="1" si="528"/>
        <v>0</v>
      </c>
      <c r="J729" s="1082">
        <f t="shared" ca="1" si="528"/>
        <v>0</v>
      </c>
      <c r="K729" s="1082">
        <f t="shared" ca="1" si="528"/>
        <v>0</v>
      </c>
      <c r="L729" s="1082">
        <f t="shared" ca="1" si="528"/>
        <v>0</v>
      </c>
      <c r="M729" s="1082">
        <f t="shared" ca="1" si="528"/>
        <v>0</v>
      </c>
      <c r="N729" s="1082">
        <f t="shared" ca="1" si="528"/>
        <v>0</v>
      </c>
      <c r="O729" s="1082">
        <f t="shared" ca="1" si="528"/>
        <v>0</v>
      </c>
      <c r="P729" s="1082">
        <f t="shared" ca="1" si="528"/>
        <v>0</v>
      </c>
      <c r="Q729" s="576"/>
      <c r="R729" s="321"/>
      <c r="S729" s="319" t="s">
        <v>903</v>
      </c>
    </row>
    <row r="730" spans="1:19" ht="13" hidden="1" customHeight="1" x14ac:dyDescent="0.35">
      <c r="A730" s="235"/>
      <c r="B730" s="445"/>
      <c r="C730" s="544" t="s">
        <v>1116</v>
      </c>
      <c r="D730" s="1129"/>
      <c r="E730" s="434" t="s">
        <v>1117</v>
      </c>
      <c r="F730" s="1078">
        <f ca="1">F731+OFFSET($E732,0,F$8)</f>
        <v>0</v>
      </c>
      <c r="G730" s="1078">
        <f t="shared" ref="G730:Q730" ca="1" si="529">G731+G732</f>
        <v>0</v>
      </c>
      <c r="H730" s="1078">
        <f t="shared" ca="1" si="529"/>
        <v>0</v>
      </c>
      <c r="I730" s="1078">
        <f t="shared" ca="1" si="529"/>
        <v>0</v>
      </c>
      <c r="J730" s="1078">
        <f t="shared" ca="1" si="529"/>
        <v>0</v>
      </c>
      <c r="K730" s="1078">
        <f t="shared" ca="1" si="529"/>
        <v>0</v>
      </c>
      <c r="L730" s="1078">
        <f t="shared" ca="1" si="529"/>
        <v>0</v>
      </c>
      <c r="M730" s="1078">
        <f t="shared" ref="M730:N730" ca="1" si="530">M731+M732</f>
        <v>0</v>
      </c>
      <c r="N730" s="1078">
        <f t="shared" ca="1" si="530"/>
        <v>0</v>
      </c>
      <c r="O730" s="1078">
        <f t="shared" ref="O730:P730" ca="1" si="531">O731+O732</f>
        <v>0</v>
      </c>
      <c r="P730" s="1078">
        <f t="shared" ca="1" si="531"/>
        <v>0</v>
      </c>
      <c r="Q730" s="545">
        <f t="shared" ca="1" si="529"/>
        <v>0</v>
      </c>
      <c r="R730" s="321"/>
      <c r="S730" s="319" t="s">
        <v>82</v>
      </c>
    </row>
    <row r="731" spans="1:19" ht="13" hidden="1" customHeight="1" x14ac:dyDescent="0.35">
      <c r="A731" s="235"/>
      <c r="B731" s="554"/>
      <c r="C731" s="547" t="s">
        <v>1118</v>
      </c>
      <c r="D731" s="1130"/>
      <c r="E731" s="586" t="s">
        <v>1119</v>
      </c>
      <c r="F731" s="1079">
        <v>0</v>
      </c>
      <c r="G731" s="1079">
        <v>0</v>
      </c>
      <c r="H731" s="1079">
        <v>0</v>
      </c>
      <c r="I731" s="1079">
        <v>0</v>
      </c>
      <c r="J731" s="1079">
        <v>0</v>
      </c>
      <c r="K731" s="1079">
        <v>0</v>
      </c>
      <c r="L731" s="1079">
        <v>0</v>
      </c>
      <c r="M731" s="1079">
        <v>0</v>
      </c>
      <c r="N731" s="1079">
        <v>0</v>
      </c>
      <c r="O731" s="1079">
        <v>0</v>
      </c>
      <c r="P731" s="1079">
        <v>0</v>
      </c>
      <c r="Q731" s="577">
        <v>0</v>
      </c>
      <c r="R731" s="321"/>
      <c r="S731" s="319" t="s">
        <v>903</v>
      </c>
    </row>
    <row r="732" spans="1:19" ht="13" hidden="1" customHeight="1" x14ac:dyDescent="0.35">
      <c r="A732" s="235"/>
      <c r="B732" s="554"/>
      <c r="C732" s="549" t="s">
        <v>1116</v>
      </c>
      <c r="D732" s="1119">
        <f ca="1">OFFSET(D732,0,MAX(2,$D$7-5))</f>
        <v>0</v>
      </c>
      <c r="E732" s="349" t="s">
        <v>1120</v>
      </c>
      <c r="F732" s="1080"/>
      <c r="G732" s="1081">
        <f ca="1">OFFSET(G732,0,-1)+OFFSET(G732,1,0)+G$1097</f>
        <v>0</v>
      </c>
      <c r="H732" s="1081">
        <f t="shared" ref="H732:Q732" ca="1" si="532">OFFSET(H732,0,-1)+OFFSET(H732,1,0)+H$1097</f>
        <v>0</v>
      </c>
      <c r="I732" s="1081">
        <f t="shared" ca="1" si="532"/>
        <v>0</v>
      </c>
      <c r="J732" s="1081">
        <f t="shared" ca="1" si="532"/>
        <v>0</v>
      </c>
      <c r="K732" s="1081">
        <f t="shared" ca="1" si="532"/>
        <v>0</v>
      </c>
      <c r="L732" s="1081">
        <f t="shared" ca="1" si="532"/>
        <v>0</v>
      </c>
      <c r="M732" s="1081">
        <f t="shared" ca="1" si="532"/>
        <v>0</v>
      </c>
      <c r="N732" s="1081">
        <f t="shared" ca="1" si="532"/>
        <v>0</v>
      </c>
      <c r="O732" s="1081">
        <f t="shared" ca="1" si="532"/>
        <v>0</v>
      </c>
      <c r="P732" s="1081">
        <f t="shared" ca="1" si="532"/>
        <v>0</v>
      </c>
      <c r="Q732" s="550">
        <f t="shared" ca="1" si="532"/>
        <v>0</v>
      </c>
      <c r="R732" s="321"/>
      <c r="S732" s="319" t="s">
        <v>903</v>
      </c>
    </row>
    <row r="733" spans="1:19" ht="16" hidden="1" customHeight="1" x14ac:dyDescent="0.35">
      <c r="A733" s="235"/>
      <c r="B733" s="554"/>
      <c r="C733" s="552" t="s">
        <v>1103</v>
      </c>
      <c r="D733" s="1131">
        <v>0</v>
      </c>
      <c r="E733" s="592" t="s">
        <v>1121</v>
      </c>
      <c r="F733" s="1082"/>
      <c r="G733" s="1082">
        <f>IF(AND(G$5=0,NoZeroCol=1),0,G$1098)</f>
        <v>0</v>
      </c>
      <c r="H733" s="1082">
        <f t="shared" ref="H733:P733" ca="1" si="533">IF(H$1=FinMonth,MIN(0,MAX(-IF(BalDepr04=1,$D732,OFFSET(H732,0,-1))*$D733/100,-OFFSET(H732,0,-1))),0)+H$1098</f>
        <v>0</v>
      </c>
      <c r="I733" s="1082">
        <f t="shared" ca="1" si="533"/>
        <v>0</v>
      </c>
      <c r="J733" s="1082">
        <f t="shared" ca="1" si="533"/>
        <v>0</v>
      </c>
      <c r="K733" s="1082">
        <f t="shared" ca="1" si="533"/>
        <v>0</v>
      </c>
      <c r="L733" s="1082">
        <f t="shared" ca="1" si="533"/>
        <v>0</v>
      </c>
      <c r="M733" s="1082">
        <f t="shared" ca="1" si="533"/>
        <v>0</v>
      </c>
      <c r="N733" s="1082">
        <f t="shared" ca="1" si="533"/>
        <v>0</v>
      </c>
      <c r="O733" s="1082">
        <f t="shared" ca="1" si="533"/>
        <v>0</v>
      </c>
      <c r="P733" s="1082">
        <f t="shared" ca="1" si="533"/>
        <v>0</v>
      </c>
      <c r="Q733" s="576"/>
      <c r="R733" s="321"/>
      <c r="S733" s="319" t="s">
        <v>903</v>
      </c>
    </row>
    <row r="734" spans="1:19" ht="13" customHeight="1" x14ac:dyDescent="0.35">
      <c r="A734" s="235"/>
      <c r="B734" s="445"/>
      <c r="C734" s="434" t="s">
        <v>1122</v>
      </c>
      <c r="D734" s="1123"/>
      <c r="E734" s="434" t="s">
        <v>1123</v>
      </c>
      <c r="F734" s="1026">
        <f t="shared" ref="F734:Q734" ca="1" si="534">F735+F739+F743+F747+F751</f>
        <v>0</v>
      </c>
      <c r="G734" s="1026">
        <f t="shared" ca="1" si="534"/>
        <v>0</v>
      </c>
      <c r="H734" s="1026">
        <f t="shared" ca="1" si="534"/>
        <v>1498333.3333333333</v>
      </c>
      <c r="I734" s="1026">
        <f t="shared" ca="1" si="534"/>
        <v>1974166.6666666665</v>
      </c>
      <c r="J734" s="1026">
        <f t="shared" ca="1" si="534"/>
        <v>2298833.3333333335</v>
      </c>
      <c r="K734" s="1026">
        <f t="shared" ca="1" si="534"/>
        <v>2622333.3333333335</v>
      </c>
      <c r="L734" s="1026">
        <f t="shared" ca="1" si="534"/>
        <v>2319958.3333333335</v>
      </c>
      <c r="M734" s="1026">
        <f t="shared" ref="M734:N734" ca="1" si="535">M735+M739+M743+M747+M751</f>
        <v>2143677.0833333335</v>
      </c>
      <c r="N734" s="1026">
        <f t="shared" ca="1" si="535"/>
        <v>1921341.1458333335</v>
      </c>
      <c r="O734" s="1026">
        <f t="shared" ref="O734:P734" ca="1" si="536">O735+O739+O743+O747+O751</f>
        <v>1765714.1927083335</v>
      </c>
      <c r="P734" s="1026">
        <f t="shared" ca="1" si="536"/>
        <v>1589806.4778645835</v>
      </c>
      <c r="Q734" s="512">
        <f t="shared" ca="1" si="534"/>
        <v>0</v>
      </c>
      <c r="R734" s="321"/>
      <c r="S734" s="319" t="s">
        <v>148</v>
      </c>
    </row>
    <row r="735" spans="1:19" ht="13" hidden="1" customHeight="1" x14ac:dyDescent="0.35">
      <c r="A735" s="235"/>
      <c r="B735" s="445"/>
      <c r="C735" s="544" t="s">
        <v>1124</v>
      </c>
      <c r="D735" s="1129"/>
      <c r="E735" s="434" t="s">
        <v>1125</v>
      </c>
      <c r="F735" s="1078">
        <f ca="1">F736+OFFSET($E737,0,F$8)</f>
        <v>0</v>
      </c>
      <c r="G735" s="1078">
        <f t="shared" ref="G735:Q735" ca="1" si="537">G736+G737</f>
        <v>0</v>
      </c>
      <c r="H735" s="1078">
        <f t="shared" ca="1" si="537"/>
        <v>1000000</v>
      </c>
      <c r="I735" s="1078">
        <f t="shared" ca="1" si="537"/>
        <v>979166.66666666674</v>
      </c>
      <c r="J735" s="1078">
        <f t="shared" ca="1" si="537"/>
        <v>958333.33333333349</v>
      </c>
      <c r="K735" s="1078">
        <f t="shared" ca="1" si="537"/>
        <v>937500.00000000023</v>
      </c>
      <c r="L735" s="1078">
        <f t="shared" ca="1" si="537"/>
        <v>703125.00000000023</v>
      </c>
      <c r="M735" s="1078">
        <f t="shared" ref="M735:N735" ca="1" si="538">M736+M737</f>
        <v>594843.75000000023</v>
      </c>
      <c r="N735" s="1078">
        <f t="shared" ca="1" si="538"/>
        <v>440507.81250000023</v>
      </c>
      <c r="O735" s="1078">
        <f t="shared" ref="O735:P735" ca="1" si="539">O736+O737</f>
        <v>352880.85937500023</v>
      </c>
      <c r="P735" s="1078">
        <f t="shared" ca="1" si="539"/>
        <v>244973.14453125023</v>
      </c>
      <c r="Q735" s="545">
        <f t="shared" ca="1" si="537"/>
        <v>0</v>
      </c>
      <c r="R735" s="321"/>
      <c r="S735" s="319" t="s">
        <v>82</v>
      </c>
    </row>
    <row r="736" spans="1:19" ht="13" hidden="1" customHeight="1" x14ac:dyDescent="0.35">
      <c r="A736" s="235"/>
      <c r="B736" s="554"/>
      <c r="C736" s="547" t="s">
        <v>1126</v>
      </c>
      <c r="D736" s="1130"/>
      <c r="E736" s="586" t="s">
        <v>1127</v>
      </c>
      <c r="F736" s="1079">
        <f t="shared" ref="F736:Q736" si="540">+F$21+F$41+F$51+F$61+F$71+F$81+F$91+F$101+F$111+F$121+F$131+F$141+F$151+F$161+F$171+F$181+F$191+F$201+F$211+F$221+F$231+F$241+F$251+F$261+F$271+F$281+F$291+F$301+F$311</f>
        <v>0</v>
      </c>
      <c r="G736" s="1079">
        <f t="shared" ca="1" si="540"/>
        <v>0</v>
      </c>
      <c r="H736" s="1079">
        <f t="shared" ca="1" si="540"/>
        <v>1000000</v>
      </c>
      <c r="I736" s="1079">
        <f t="shared" ca="1" si="540"/>
        <v>979166.66666666674</v>
      </c>
      <c r="J736" s="1079">
        <f t="shared" ca="1" si="540"/>
        <v>958333.33333333349</v>
      </c>
      <c r="K736" s="1079">
        <f t="shared" ca="1" si="540"/>
        <v>937500.00000000023</v>
      </c>
      <c r="L736" s="1079">
        <f t="shared" ca="1" si="540"/>
        <v>703125.00000000023</v>
      </c>
      <c r="M736" s="1079">
        <f t="shared" ca="1" si="540"/>
        <v>594843.75000000023</v>
      </c>
      <c r="N736" s="1079">
        <f t="shared" ca="1" si="540"/>
        <v>440507.81250000023</v>
      </c>
      <c r="O736" s="1079">
        <f t="shared" ca="1" si="540"/>
        <v>352880.85937500023</v>
      </c>
      <c r="P736" s="1079">
        <f t="shared" ca="1" si="540"/>
        <v>244973.14453125023</v>
      </c>
      <c r="Q736" s="577">
        <f t="shared" ca="1" si="540"/>
        <v>0</v>
      </c>
      <c r="R736" s="321"/>
      <c r="S736" s="319" t="s">
        <v>903</v>
      </c>
    </row>
    <row r="737" spans="1:19" ht="13" hidden="1" customHeight="1" x14ac:dyDescent="0.35">
      <c r="A737" s="235"/>
      <c r="B737" s="554"/>
      <c r="C737" s="549" t="s">
        <v>1124</v>
      </c>
      <c r="D737" s="1119">
        <f ca="1">OFFSET(D737,0,MAX(2,$D$7-5))</f>
        <v>0</v>
      </c>
      <c r="E737" s="349" t="s">
        <v>1128</v>
      </c>
      <c r="F737" s="1080"/>
      <c r="G737" s="1081">
        <f ca="1">OFFSET(G737,0,-1)+OFFSET(G737,1,0)+G$1148</f>
        <v>0</v>
      </c>
      <c r="H737" s="1081">
        <f t="shared" ref="H737:Q737" ca="1" si="541">OFFSET(H737,0,-1)+OFFSET(H737,1,0)+H$1148</f>
        <v>0</v>
      </c>
      <c r="I737" s="1081">
        <f t="shared" ca="1" si="541"/>
        <v>0</v>
      </c>
      <c r="J737" s="1081">
        <f t="shared" ca="1" si="541"/>
        <v>0</v>
      </c>
      <c r="K737" s="1081">
        <f t="shared" ca="1" si="541"/>
        <v>0</v>
      </c>
      <c r="L737" s="1081">
        <f t="shared" ca="1" si="541"/>
        <v>0</v>
      </c>
      <c r="M737" s="1081">
        <f t="shared" ca="1" si="541"/>
        <v>0</v>
      </c>
      <c r="N737" s="1081">
        <f t="shared" ca="1" si="541"/>
        <v>0</v>
      </c>
      <c r="O737" s="1081">
        <f t="shared" ca="1" si="541"/>
        <v>0</v>
      </c>
      <c r="P737" s="1081">
        <f t="shared" ca="1" si="541"/>
        <v>0</v>
      </c>
      <c r="Q737" s="550">
        <f t="shared" ca="1" si="541"/>
        <v>0</v>
      </c>
      <c r="R737" s="321"/>
      <c r="S737" s="319" t="s">
        <v>903</v>
      </c>
    </row>
    <row r="738" spans="1:19" ht="16.5" hidden="1" customHeight="1" x14ac:dyDescent="0.35">
      <c r="A738" s="235"/>
      <c r="B738" s="554"/>
      <c r="C738" s="552" t="s">
        <v>1103</v>
      </c>
      <c r="D738" s="1131">
        <v>0</v>
      </c>
      <c r="E738" s="592" t="s">
        <v>1129</v>
      </c>
      <c r="F738" s="1082"/>
      <c r="G738" s="1082">
        <f>IF(AND(G$5=0,NoZeroCol=1),0,G$1160)</f>
        <v>0</v>
      </c>
      <c r="H738" s="1082">
        <f t="shared" ref="H738:P738" ca="1" si="542">IF(H$1=FinMonth,MIN(0,MAX(-IF(BalDepr05=1,$D737,OFFSET(H737,0,-1))*$D738/100,-OFFSET(H737,0,-1))),0)+H$1160</f>
        <v>0</v>
      </c>
      <c r="I738" s="1082">
        <f t="shared" ca="1" si="542"/>
        <v>0</v>
      </c>
      <c r="J738" s="1082">
        <f t="shared" ca="1" si="542"/>
        <v>0</v>
      </c>
      <c r="K738" s="1082">
        <f t="shared" ca="1" si="542"/>
        <v>0</v>
      </c>
      <c r="L738" s="1082">
        <f t="shared" ca="1" si="542"/>
        <v>0</v>
      </c>
      <c r="M738" s="1082">
        <f t="shared" ca="1" si="542"/>
        <v>0</v>
      </c>
      <c r="N738" s="1082">
        <f t="shared" ca="1" si="542"/>
        <v>0</v>
      </c>
      <c r="O738" s="1082">
        <f t="shared" ca="1" si="542"/>
        <v>0</v>
      </c>
      <c r="P738" s="1082">
        <f t="shared" ca="1" si="542"/>
        <v>0</v>
      </c>
      <c r="Q738" s="576"/>
      <c r="R738" s="321"/>
      <c r="S738" s="319" t="s">
        <v>903</v>
      </c>
    </row>
    <row r="739" spans="1:19" ht="13" hidden="1" customHeight="1" x14ac:dyDescent="0.35">
      <c r="A739" s="235"/>
      <c r="B739" s="445"/>
      <c r="C739" s="544" t="s">
        <v>1130</v>
      </c>
      <c r="D739" s="1129"/>
      <c r="E739" s="434" t="s">
        <v>1131</v>
      </c>
      <c r="F739" s="1078">
        <f ca="1">F740+OFFSET($E741,0,F$8)</f>
        <v>0</v>
      </c>
      <c r="G739" s="1078">
        <f t="shared" ref="G739:Q739" ca="1" si="543">G740+G741</f>
        <v>0</v>
      </c>
      <c r="H739" s="1078">
        <f t="shared" ca="1" si="543"/>
        <v>498333.33333333331</v>
      </c>
      <c r="I739" s="1078">
        <f t="shared" ca="1" si="543"/>
        <v>994999.99999999988</v>
      </c>
      <c r="J739" s="1078">
        <f t="shared" ca="1" si="543"/>
        <v>1340500</v>
      </c>
      <c r="K739" s="1078">
        <f t="shared" ca="1" si="543"/>
        <v>1684833.3333333333</v>
      </c>
      <c r="L739" s="1078">
        <f t="shared" ca="1" si="543"/>
        <v>1616833.3333333333</v>
      </c>
      <c r="M739" s="1078">
        <f t="shared" ref="M739:N739" ca="1" si="544">M740+M741</f>
        <v>1548833.3333333333</v>
      </c>
      <c r="N739" s="1078">
        <f t="shared" ca="1" si="544"/>
        <v>1480833.3333333333</v>
      </c>
      <c r="O739" s="1078">
        <f t="shared" ref="O739:P739" ca="1" si="545">O740+O741</f>
        <v>1412833.3333333333</v>
      </c>
      <c r="P739" s="1078">
        <f t="shared" ca="1" si="545"/>
        <v>1344833.3333333333</v>
      </c>
      <c r="Q739" s="545">
        <f t="shared" ca="1" si="543"/>
        <v>0</v>
      </c>
      <c r="R739" s="321"/>
      <c r="S739" s="319" t="s">
        <v>82</v>
      </c>
    </row>
    <row r="740" spans="1:19" ht="13" hidden="1" customHeight="1" x14ac:dyDescent="0.35">
      <c r="A740" s="235"/>
      <c r="B740" s="554"/>
      <c r="C740" s="547" t="s">
        <v>1132</v>
      </c>
      <c r="D740" s="1130"/>
      <c r="E740" s="586" t="s">
        <v>1133</v>
      </c>
      <c r="F740" s="1079">
        <f t="shared" ref="F740:Q740" si="546">+F$31</f>
        <v>0</v>
      </c>
      <c r="G740" s="1079">
        <f t="shared" ca="1" si="546"/>
        <v>0</v>
      </c>
      <c r="H740" s="1079">
        <f t="shared" ca="1" si="546"/>
        <v>498333.33333333331</v>
      </c>
      <c r="I740" s="1079">
        <f t="shared" ca="1" si="546"/>
        <v>994999.99999999988</v>
      </c>
      <c r="J740" s="1079">
        <f t="shared" ca="1" si="546"/>
        <v>1340500</v>
      </c>
      <c r="K740" s="1079">
        <f t="shared" ca="1" si="546"/>
        <v>1684833.3333333333</v>
      </c>
      <c r="L740" s="1079">
        <f t="shared" ca="1" si="546"/>
        <v>1616833.3333333333</v>
      </c>
      <c r="M740" s="1079">
        <f t="shared" ca="1" si="546"/>
        <v>1548833.3333333333</v>
      </c>
      <c r="N740" s="1079">
        <f t="shared" ca="1" si="546"/>
        <v>1480833.3333333333</v>
      </c>
      <c r="O740" s="1079">
        <f t="shared" ca="1" si="546"/>
        <v>1412833.3333333333</v>
      </c>
      <c r="P740" s="1079">
        <f t="shared" ca="1" si="546"/>
        <v>1344833.3333333333</v>
      </c>
      <c r="Q740" s="577">
        <f t="shared" ca="1" si="546"/>
        <v>0</v>
      </c>
      <c r="R740" s="321"/>
      <c r="S740" s="319" t="s">
        <v>903</v>
      </c>
    </row>
    <row r="741" spans="1:19" ht="13" hidden="1" customHeight="1" x14ac:dyDescent="0.35">
      <c r="A741" s="235"/>
      <c r="B741" s="554"/>
      <c r="C741" s="549" t="s">
        <v>1130</v>
      </c>
      <c r="D741" s="1119">
        <f ca="1">OFFSET(D741,0,MAX(2,$D$7-5))</f>
        <v>0</v>
      </c>
      <c r="E741" s="349" t="s">
        <v>1134</v>
      </c>
      <c r="F741" s="1080"/>
      <c r="G741" s="1081">
        <f ca="1">OFFSET(G741,0,-1)+OFFSET(G741,1,0)+G$1149</f>
        <v>0</v>
      </c>
      <c r="H741" s="1081">
        <f t="shared" ref="H741:Q741" ca="1" si="547">OFFSET(H741,0,-1)+OFFSET(H741,1,0)+H$1149</f>
        <v>0</v>
      </c>
      <c r="I741" s="1081">
        <f t="shared" ca="1" si="547"/>
        <v>0</v>
      </c>
      <c r="J741" s="1081">
        <f t="shared" ca="1" si="547"/>
        <v>0</v>
      </c>
      <c r="K741" s="1081">
        <f t="shared" ca="1" si="547"/>
        <v>0</v>
      </c>
      <c r="L741" s="1081">
        <f t="shared" ca="1" si="547"/>
        <v>0</v>
      </c>
      <c r="M741" s="1081">
        <f t="shared" ca="1" si="547"/>
        <v>0</v>
      </c>
      <c r="N741" s="1081">
        <f t="shared" ca="1" si="547"/>
        <v>0</v>
      </c>
      <c r="O741" s="1081">
        <f t="shared" ca="1" si="547"/>
        <v>0</v>
      </c>
      <c r="P741" s="1081">
        <f t="shared" ca="1" si="547"/>
        <v>0</v>
      </c>
      <c r="Q741" s="550">
        <f t="shared" ca="1" si="547"/>
        <v>0</v>
      </c>
      <c r="R741" s="321"/>
      <c r="S741" s="319" t="s">
        <v>903</v>
      </c>
    </row>
    <row r="742" spans="1:19" ht="16.5" hidden="1" customHeight="1" x14ac:dyDescent="0.35">
      <c r="A742" s="235"/>
      <c r="B742" s="554"/>
      <c r="C742" s="552" t="s">
        <v>1103</v>
      </c>
      <c r="D742" s="1131">
        <v>0</v>
      </c>
      <c r="E742" s="592" t="s">
        <v>1135</v>
      </c>
      <c r="F742" s="1082"/>
      <c r="G742" s="1082">
        <f>IF(AND(G$5=0,NoZeroCol=1),0,G$1162)</f>
        <v>0</v>
      </c>
      <c r="H742" s="1082">
        <f t="shared" ref="H742:P742" ca="1" si="548">IF(H$1=FinMonth,MIN(0,MAX(-IF(BalDepr06=1,$D741,OFFSET(H741,0,-1))*$D742/100,-OFFSET(H741,0,-1))),0)+H$1162</f>
        <v>0</v>
      </c>
      <c r="I742" s="1082">
        <f t="shared" ca="1" si="548"/>
        <v>0</v>
      </c>
      <c r="J742" s="1082">
        <f t="shared" ca="1" si="548"/>
        <v>0</v>
      </c>
      <c r="K742" s="1082">
        <f t="shared" ca="1" si="548"/>
        <v>0</v>
      </c>
      <c r="L742" s="1082">
        <f t="shared" ca="1" si="548"/>
        <v>0</v>
      </c>
      <c r="M742" s="1082">
        <f t="shared" ca="1" si="548"/>
        <v>0</v>
      </c>
      <c r="N742" s="1082">
        <f t="shared" ca="1" si="548"/>
        <v>0</v>
      </c>
      <c r="O742" s="1082">
        <f t="shared" ca="1" si="548"/>
        <v>0</v>
      </c>
      <c r="P742" s="1082">
        <f t="shared" ca="1" si="548"/>
        <v>0</v>
      </c>
      <c r="Q742" s="576"/>
      <c r="R742" s="321"/>
      <c r="S742" s="319" t="s">
        <v>903</v>
      </c>
    </row>
    <row r="743" spans="1:19" ht="13" hidden="1" customHeight="1" x14ac:dyDescent="0.35">
      <c r="A743" s="235"/>
      <c r="B743" s="445"/>
      <c r="C743" s="544" t="s">
        <v>1136</v>
      </c>
      <c r="D743" s="1129"/>
      <c r="E743" s="434" t="s">
        <v>1137</v>
      </c>
      <c r="F743" s="1078">
        <f ca="1">F744+OFFSET($E745,0,F$8)</f>
        <v>0</v>
      </c>
      <c r="G743" s="1078">
        <f t="shared" ref="G743:Q743" ca="1" si="549">G744+G745</f>
        <v>0</v>
      </c>
      <c r="H743" s="1078">
        <f t="shared" ca="1" si="549"/>
        <v>0</v>
      </c>
      <c r="I743" s="1078">
        <f t="shared" ca="1" si="549"/>
        <v>0</v>
      </c>
      <c r="J743" s="1078">
        <f t="shared" ca="1" si="549"/>
        <v>0</v>
      </c>
      <c r="K743" s="1078">
        <f t="shared" ca="1" si="549"/>
        <v>0</v>
      </c>
      <c r="L743" s="1078">
        <f t="shared" ca="1" si="549"/>
        <v>0</v>
      </c>
      <c r="M743" s="1078">
        <f t="shared" ref="M743:N743" ca="1" si="550">M744+M745</f>
        <v>0</v>
      </c>
      <c r="N743" s="1078">
        <f t="shared" ca="1" si="550"/>
        <v>0</v>
      </c>
      <c r="O743" s="1078">
        <f t="shared" ref="O743:P743" ca="1" si="551">O744+O745</f>
        <v>0</v>
      </c>
      <c r="P743" s="1078">
        <f t="shared" ca="1" si="551"/>
        <v>0</v>
      </c>
      <c r="Q743" s="545">
        <f t="shared" ca="1" si="549"/>
        <v>0</v>
      </c>
      <c r="R743" s="321"/>
      <c r="S743" s="319" t="s">
        <v>82</v>
      </c>
    </row>
    <row r="744" spans="1:19" ht="13" hidden="1" customHeight="1" x14ac:dyDescent="0.35">
      <c r="A744" s="235"/>
      <c r="B744" s="554"/>
      <c r="C744" s="547" t="s">
        <v>1138</v>
      </c>
      <c r="D744" s="1130"/>
      <c r="E744" s="586" t="s">
        <v>1139</v>
      </c>
      <c r="F744" s="1079">
        <v>0</v>
      </c>
      <c r="G744" s="1079">
        <v>0</v>
      </c>
      <c r="H744" s="1079">
        <v>0</v>
      </c>
      <c r="I744" s="1079">
        <v>0</v>
      </c>
      <c r="J744" s="1079">
        <v>0</v>
      </c>
      <c r="K744" s="1079">
        <v>0</v>
      </c>
      <c r="L744" s="1079">
        <v>0</v>
      </c>
      <c r="M744" s="1079">
        <v>0</v>
      </c>
      <c r="N744" s="1079">
        <v>0</v>
      </c>
      <c r="O744" s="1079">
        <v>0</v>
      </c>
      <c r="P744" s="1079">
        <v>0</v>
      </c>
      <c r="Q744" s="577">
        <v>0</v>
      </c>
      <c r="R744" s="321"/>
      <c r="S744" s="319" t="s">
        <v>903</v>
      </c>
    </row>
    <row r="745" spans="1:19" ht="13" hidden="1" customHeight="1" x14ac:dyDescent="0.35">
      <c r="A745" s="235"/>
      <c r="B745" s="554"/>
      <c r="C745" s="549" t="s">
        <v>1136</v>
      </c>
      <c r="D745" s="1119">
        <f ca="1">OFFSET(D745,0,MAX(2,$D$7-5))</f>
        <v>0</v>
      </c>
      <c r="E745" s="349" t="s">
        <v>1140</v>
      </c>
      <c r="F745" s="1080"/>
      <c r="G745" s="1081">
        <f ca="1">OFFSET(G745,0,-1)+OFFSET(G745,1,0)+G$1150</f>
        <v>0</v>
      </c>
      <c r="H745" s="1081">
        <f t="shared" ref="H745:Q745" ca="1" si="552">OFFSET(H745,0,-1)+OFFSET(H745,1,0)+H$1150</f>
        <v>0</v>
      </c>
      <c r="I745" s="1081">
        <f t="shared" ca="1" si="552"/>
        <v>0</v>
      </c>
      <c r="J745" s="1081">
        <f t="shared" ca="1" si="552"/>
        <v>0</v>
      </c>
      <c r="K745" s="1081">
        <f t="shared" ca="1" si="552"/>
        <v>0</v>
      </c>
      <c r="L745" s="1081">
        <f t="shared" ca="1" si="552"/>
        <v>0</v>
      </c>
      <c r="M745" s="1081">
        <f t="shared" ca="1" si="552"/>
        <v>0</v>
      </c>
      <c r="N745" s="1081">
        <f t="shared" ca="1" si="552"/>
        <v>0</v>
      </c>
      <c r="O745" s="1081">
        <f t="shared" ca="1" si="552"/>
        <v>0</v>
      </c>
      <c r="P745" s="1081">
        <f t="shared" ca="1" si="552"/>
        <v>0</v>
      </c>
      <c r="Q745" s="550">
        <f t="shared" ca="1" si="552"/>
        <v>0</v>
      </c>
      <c r="R745" s="321"/>
      <c r="S745" s="319" t="s">
        <v>903</v>
      </c>
    </row>
    <row r="746" spans="1:19" ht="16.5" hidden="1" customHeight="1" x14ac:dyDescent="0.35">
      <c r="A746" s="235"/>
      <c r="B746" s="554"/>
      <c r="C746" s="552" t="s">
        <v>1103</v>
      </c>
      <c r="D746" s="1131">
        <v>0</v>
      </c>
      <c r="E746" s="592" t="s">
        <v>1141</v>
      </c>
      <c r="F746" s="1082"/>
      <c r="G746" s="1082">
        <f>IF(AND(G$5=0,NoZeroCol=1),0,G$1164)</f>
        <v>0</v>
      </c>
      <c r="H746" s="1082">
        <f t="shared" ref="H746:P746" ca="1" si="553">IF(H$1=FinMonth,MIN(0,MAX(-IF(BalDepr07=1,$D745,OFFSET(H745,0,-1))*$D746/100,-OFFSET(H745,0,-1))),0)+H$1164</f>
        <v>0</v>
      </c>
      <c r="I746" s="1082">
        <f t="shared" ca="1" si="553"/>
        <v>0</v>
      </c>
      <c r="J746" s="1082">
        <f t="shared" ca="1" si="553"/>
        <v>0</v>
      </c>
      <c r="K746" s="1082">
        <f t="shared" ca="1" si="553"/>
        <v>0</v>
      </c>
      <c r="L746" s="1082">
        <f t="shared" ca="1" si="553"/>
        <v>0</v>
      </c>
      <c r="M746" s="1082">
        <f t="shared" ca="1" si="553"/>
        <v>0</v>
      </c>
      <c r="N746" s="1082">
        <f t="shared" ca="1" si="553"/>
        <v>0</v>
      </c>
      <c r="O746" s="1082">
        <f t="shared" ca="1" si="553"/>
        <v>0</v>
      </c>
      <c r="P746" s="1082">
        <f t="shared" ca="1" si="553"/>
        <v>0</v>
      </c>
      <c r="Q746" s="576"/>
      <c r="R746" s="321"/>
      <c r="S746" s="319" t="s">
        <v>903</v>
      </c>
    </row>
    <row r="747" spans="1:19" ht="13" hidden="1" customHeight="1" x14ac:dyDescent="0.35">
      <c r="A747" s="235"/>
      <c r="B747" s="554"/>
      <c r="C747" s="544" t="s">
        <v>1142</v>
      </c>
      <c r="D747" s="1129"/>
      <c r="E747" s="434" t="s">
        <v>1143</v>
      </c>
      <c r="F747" s="1078">
        <f ca="1">F748+OFFSET($E749,0,F$8)</f>
        <v>0</v>
      </c>
      <c r="G747" s="1078">
        <f t="shared" ref="G747:Q747" ca="1" si="554">G748+G749</f>
        <v>0</v>
      </c>
      <c r="H747" s="1078">
        <f t="shared" ca="1" si="554"/>
        <v>0</v>
      </c>
      <c r="I747" s="1078">
        <f t="shared" ca="1" si="554"/>
        <v>0</v>
      </c>
      <c r="J747" s="1078">
        <f t="shared" ca="1" si="554"/>
        <v>0</v>
      </c>
      <c r="K747" s="1078">
        <f t="shared" ca="1" si="554"/>
        <v>0</v>
      </c>
      <c r="L747" s="1078">
        <f t="shared" ca="1" si="554"/>
        <v>0</v>
      </c>
      <c r="M747" s="1078">
        <f t="shared" ref="M747:N747" ca="1" si="555">M748+M749</f>
        <v>0</v>
      </c>
      <c r="N747" s="1078">
        <f t="shared" ca="1" si="555"/>
        <v>0</v>
      </c>
      <c r="O747" s="1078">
        <f t="shared" ref="O747:P747" ca="1" si="556">O748+O749</f>
        <v>0</v>
      </c>
      <c r="P747" s="1078">
        <f t="shared" ca="1" si="556"/>
        <v>0</v>
      </c>
      <c r="Q747" s="545">
        <f t="shared" ca="1" si="554"/>
        <v>0</v>
      </c>
      <c r="R747" s="321"/>
      <c r="S747" s="319" t="s">
        <v>82</v>
      </c>
    </row>
    <row r="748" spans="1:19" ht="13" hidden="1" customHeight="1" x14ac:dyDescent="0.35">
      <c r="A748" s="235"/>
      <c r="B748" s="554"/>
      <c r="C748" s="547" t="s">
        <v>1144</v>
      </c>
      <c r="D748" s="1130"/>
      <c r="E748" s="586" t="s">
        <v>1145</v>
      </c>
      <c r="F748" s="1079">
        <v>0</v>
      </c>
      <c r="G748" s="1079">
        <v>0</v>
      </c>
      <c r="H748" s="1079">
        <v>0</v>
      </c>
      <c r="I748" s="1079">
        <v>0</v>
      </c>
      <c r="J748" s="1079">
        <v>0</v>
      </c>
      <c r="K748" s="1079">
        <v>0</v>
      </c>
      <c r="L748" s="1079">
        <v>0</v>
      </c>
      <c r="M748" s="1079">
        <v>0</v>
      </c>
      <c r="N748" s="1079">
        <v>0</v>
      </c>
      <c r="O748" s="1079">
        <v>0</v>
      </c>
      <c r="P748" s="1079">
        <v>0</v>
      </c>
      <c r="Q748" s="577">
        <v>0</v>
      </c>
      <c r="R748" s="321"/>
      <c r="S748" s="319" t="s">
        <v>903</v>
      </c>
    </row>
    <row r="749" spans="1:19" ht="13" hidden="1" customHeight="1" x14ac:dyDescent="0.35">
      <c r="A749" s="235"/>
      <c r="B749" s="554"/>
      <c r="C749" s="549" t="s">
        <v>1142</v>
      </c>
      <c r="D749" s="1119">
        <f ca="1">OFFSET(D749,0,MAX(2,$D$7-5))</f>
        <v>0</v>
      </c>
      <c r="E749" s="349" t="s">
        <v>1146</v>
      </c>
      <c r="F749" s="1080"/>
      <c r="G749" s="1081">
        <f ca="1">OFFSET(G749,0,-1)+OFFSET(G749,1,0)+G$1102</f>
        <v>0</v>
      </c>
      <c r="H749" s="1081">
        <f t="shared" ref="H749:P749" ca="1" si="557">OFFSET(H749,0,-1)+OFFSET(H749,1,0)+H$1102</f>
        <v>0</v>
      </c>
      <c r="I749" s="1081">
        <f t="shared" ca="1" si="557"/>
        <v>0</v>
      </c>
      <c r="J749" s="1081">
        <f t="shared" ca="1" si="557"/>
        <v>0</v>
      </c>
      <c r="K749" s="1081">
        <f t="shared" ca="1" si="557"/>
        <v>0</v>
      </c>
      <c r="L749" s="1081">
        <f t="shared" ca="1" si="557"/>
        <v>0</v>
      </c>
      <c r="M749" s="1081">
        <f t="shared" ca="1" si="557"/>
        <v>0</v>
      </c>
      <c r="N749" s="1081">
        <f t="shared" ca="1" si="557"/>
        <v>0</v>
      </c>
      <c r="O749" s="1081">
        <f t="shared" ca="1" si="557"/>
        <v>0</v>
      </c>
      <c r="P749" s="1081">
        <f t="shared" ca="1" si="557"/>
        <v>0</v>
      </c>
      <c r="Q749" s="550">
        <f ca="1">OFFSET(Q749,0,-1)+OFFSET(Q749,1,0)</f>
        <v>0</v>
      </c>
      <c r="R749" s="321"/>
      <c r="S749" s="319" t="s">
        <v>903</v>
      </c>
    </row>
    <row r="750" spans="1:19" ht="16.5" hidden="1" customHeight="1" x14ac:dyDescent="0.35">
      <c r="A750" s="235"/>
      <c r="B750" s="554"/>
      <c r="C750" s="552" t="s">
        <v>1103</v>
      </c>
      <c r="D750" s="1131">
        <v>0</v>
      </c>
      <c r="E750" s="592" t="s">
        <v>1147</v>
      </c>
      <c r="F750" s="1082"/>
      <c r="G750" s="1082">
        <f>IF(AND(G$5=0,NoZeroCol=1),0,G$1103)</f>
        <v>0</v>
      </c>
      <c r="H750" s="1082">
        <f t="shared" ref="H750:P750" ca="1" si="558">IF(H$1=FinMonth,MIN(0,MAX(-IF(BalDepr08=1,$D749,OFFSET(H749,0,-1))*$D750/100,-OFFSET(H749,0,-1))),0)+H$1103</f>
        <v>0</v>
      </c>
      <c r="I750" s="1082">
        <f t="shared" ca="1" si="558"/>
        <v>0</v>
      </c>
      <c r="J750" s="1082">
        <f t="shared" ca="1" si="558"/>
        <v>0</v>
      </c>
      <c r="K750" s="1082">
        <f t="shared" ca="1" si="558"/>
        <v>0</v>
      </c>
      <c r="L750" s="1082">
        <f t="shared" ca="1" si="558"/>
        <v>0</v>
      </c>
      <c r="M750" s="1082">
        <f t="shared" ca="1" si="558"/>
        <v>0</v>
      </c>
      <c r="N750" s="1082">
        <f t="shared" ca="1" si="558"/>
        <v>0</v>
      </c>
      <c r="O750" s="1082">
        <f t="shared" ca="1" si="558"/>
        <v>0</v>
      </c>
      <c r="P750" s="1082">
        <f t="shared" ca="1" si="558"/>
        <v>0</v>
      </c>
      <c r="Q750" s="576"/>
      <c r="R750" s="321"/>
      <c r="S750" s="319" t="s">
        <v>903</v>
      </c>
    </row>
    <row r="751" spans="1:19" ht="13" hidden="1" customHeight="1" x14ac:dyDescent="0.35">
      <c r="A751" s="235"/>
      <c r="B751" s="445"/>
      <c r="C751" s="544" t="s">
        <v>1148</v>
      </c>
      <c r="D751" s="1129"/>
      <c r="E751" s="434" t="s">
        <v>1149</v>
      </c>
      <c r="F751" s="1078">
        <f ca="1">F752+OFFSET($E753,0,F$8)</f>
        <v>0</v>
      </c>
      <c r="G751" s="1078">
        <f t="shared" ref="G751:Q751" ca="1" si="559">G752+G753</f>
        <v>0</v>
      </c>
      <c r="H751" s="1078">
        <f t="shared" ca="1" si="559"/>
        <v>0</v>
      </c>
      <c r="I751" s="1078">
        <f t="shared" ca="1" si="559"/>
        <v>0</v>
      </c>
      <c r="J751" s="1078">
        <f t="shared" ca="1" si="559"/>
        <v>0</v>
      </c>
      <c r="K751" s="1078">
        <f t="shared" ca="1" si="559"/>
        <v>0</v>
      </c>
      <c r="L751" s="1078">
        <f t="shared" ca="1" si="559"/>
        <v>0</v>
      </c>
      <c r="M751" s="1078">
        <f t="shared" ref="M751:N751" ca="1" si="560">M752+M753</f>
        <v>0</v>
      </c>
      <c r="N751" s="1078">
        <f t="shared" ca="1" si="560"/>
        <v>0</v>
      </c>
      <c r="O751" s="1078">
        <f t="shared" ref="O751:P751" ca="1" si="561">O752+O753</f>
        <v>0</v>
      </c>
      <c r="P751" s="1078">
        <f t="shared" ca="1" si="561"/>
        <v>0</v>
      </c>
      <c r="Q751" s="545">
        <f t="shared" ca="1" si="559"/>
        <v>0</v>
      </c>
      <c r="R751" s="321"/>
      <c r="S751" s="319" t="s">
        <v>82</v>
      </c>
    </row>
    <row r="752" spans="1:19" ht="13" hidden="1" customHeight="1" x14ac:dyDescent="0.35">
      <c r="A752" s="235"/>
      <c r="B752" s="554"/>
      <c r="C752" s="547" t="s">
        <v>1150</v>
      </c>
      <c r="D752" s="1130"/>
      <c r="E752" s="586" t="s">
        <v>1151</v>
      </c>
      <c r="F752" s="1079">
        <v>0</v>
      </c>
      <c r="G752" s="1079">
        <v>0</v>
      </c>
      <c r="H752" s="1079">
        <v>0</v>
      </c>
      <c r="I752" s="1079">
        <v>0</v>
      </c>
      <c r="J752" s="1079">
        <v>0</v>
      </c>
      <c r="K752" s="1079">
        <v>0</v>
      </c>
      <c r="L752" s="1079">
        <v>0</v>
      </c>
      <c r="M752" s="1079">
        <v>0</v>
      </c>
      <c r="N752" s="1079">
        <v>0</v>
      </c>
      <c r="O752" s="1079">
        <v>0</v>
      </c>
      <c r="P752" s="1079">
        <v>0</v>
      </c>
      <c r="Q752" s="577">
        <v>0</v>
      </c>
      <c r="R752" s="321"/>
      <c r="S752" s="319" t="s">
        <v>903</v>
      </c>
    </row>
    <row r="753" spans="1:19" ht="13" hidden="1" customHeight="1" x14ac:dyDescent="0.35">
      <c r="A753" s="235"/>
      <c r="B753" s="554"/>
      <c r="C753" s="549" t="s">
        <v>1148</v>
      </c>
      <c r="D753" s="1119">
        <f ca="1">OFFSET(D753,0,MAX(2,$D$7-5))</f>
        <v>0</v>
      </c>
      <c r="E753" s="349" t="s">
        <v>1152</v>
      </c>
      <c r="F753" s="1080"/>
      <c r="G753" s="1081">
        <f ca="1">OFFSET(G753,0,-1)+OFFSET(G753,1,0)+G$1105</f>
        <v>0</v>
      </c>
      <c r="H753" s="1081">
        <f t="shared" ref="H753:P753" ca="1" si="562">OFFSET(H753,0,-1)+OFFSET(H753,1,0)+H$1105</f>
        <v>0</v>
      </c>
      <c r="I753" s="1081">
        <f t="shared" ca="1" si="562"/>
        <v>0</v>
      </c>
      <c r="J753" s="1081">
        <f t="shared" ca="1" si="562"/>
        <v>0</v>
      </c>
      <c r="K753" s="1081">
        <f t="shared" ca="1" si="562"/>
        <v>0</v>
      </c>
      <c r="L753" s="1081">
        <f t="shared" ca="1" si="562"/>
        <v>0</v>
      </c>
      <c r="M753" s="1081">
        <f t="shared" ca="1" si="562"/>
        <v>0</v>
      </c>
      <c r="N753" s="1081">
        <f t="shared" ca="1" si="562"/>
        <v>0</v>
      </c>
      <c r="O753" s="1081">
        <f t="shared" ca="1" si="562"/>
        <v>0</v>
      </c>
      <c r="P753" s="1081">
        <f t="shared" ca="1" si="562"/>
        <v>0</v>
      </c>
      <c r="Q753" s="550">
        <f ca="1">OFFSET(Q753,0,-1)+OFFSET(Q753,1,0)</f>
        <v>0</v>
      </c>
      <c r="R753" s="321"/>
      <c r="S753" s="319" t="s">
        <v>903</v>
      </c>
    </row>
    <row r="754" spans="1:19" ht="16.5" hidden="1" customHeight="1" x14ac:dyDescent="0.35">
      <c r="A754" s="235"/>
      <c r="B754" s="554"/>
      <c r="C754" s="552" t="s">
        <v>1103</v>
      </c>
      <c r="D754" s="1131">
        <v>0</v>
      </c>
      <c r="E754" s="592" t="s">
        <v>1153</v>
      </c>
      <c r="F754" s="1082"/>
      <c r="G754" s="1082">
        <f>IF(AND(G$5=0,NoZeroCol=1),0,G$1106)</f>
        <v>0</v>
      </c>
      <c r="H754" s="1082">
        <f t="shared" ref="H754:P754" ca="1" si="563">IF(H$1=FinMonth,MIN(0,MAX(-IF(BalDepr08=1,$D753,OFFSET(H753,0,-1))*$D754/100,-OFFSET(H753,0,-1))),0)+H$1106</f>
        <v>0</v>
      </c>
      <c r="I754" s="1082">
        <f t="shared" ca="1" si="563"/>
        <v>0</v>
      </c>
      <c r="J754" s="1082">
        <f t="shared" ca="1" si="563"/>
        <v>0</v>
      </c>
      <c r="K754" s="1082">
        <f t="shared" ca="1" si="563"/>
        <v>0</v>
      </c>
      <c r="L754" s="1082">
        <f t="shared" ca="1" si="563"/>
        <v>0</v>
      </c>
      <c r="M754" s="1082">
        <f t="shared" ca="1" si="563"/>
        <v>0</v>
      </c>
      <c r="N754" s="1082">
        <f t="shared" ca="1" si="563"/>
        <v>0</v>
      </c>
      <c r="O754" s="1082">
        <f t="shared" ca="1" si="563"/>
        <v>0</v>
      </c>
      <c r="P754" s="1082">
        <f t="shared" ca="1" si="563"/>
        <v>0</v>
      </c>
      <c r="Q754" s="576"/>
      <c r="R754" s="321"/>
      <c r="S754" s="319" t="s">
        <v>903</v>
      </c>
    </row>
    <row r="755" spans="1:19" ht="13" customHeight="1" x14ac:dyDescent="0.35">
      <c r="A755" s="235"/>
      <c r="B755" s="445"/>
      <c r="C755" s="434" t="s">
        <v>642</v>
      </c>
      <c r="D755" s="1123"/>
      <c r="E755" s="434" t="s">
        <v>1154</v>
      </c>
      <c r="F755" s="1026">
        <f t="shared" ref="F755:Q755" ca="1" si="564">F756+F760+F764+F768</f>
        <v>0</v>
      </c>
      <c r="G755" s="1026">
        <f t="shared" ca="1" si="564"/>
        <v>0</v>
      </c>
      <c r="H755" s="1026">
        <f t="shared" ca="1" si="564"/>
        <v>0</v>
      </c>
      <c r="I755" s="1026">
        <f t="shared" ca="1" si="564"/>
        <v>0</v>
      </c>
      <c r="J755" s="1026">
        <f t="shared" ca="1" si="564"/>
        <v>0</v>
      </c>
      <c r="K755" s="1026">
        <f t="shared" ca="1" si="564"/>
        <v>0</v>
      </c>
      <c r="L755" s="1026">
        <f t="shared" ca="1" si="564"/>
        <v>0</v>
      </c>
      <c r="M755" s="1026">
        <f t="shared" ref="M755:N755" ca="1" si="565">M756+M760+M764+M768</f>
        <v>0</v>
      </c>
      <c r="N755" s="1026">
        <f t="shared" ca="1" si="565"/>
        <v>0</v>
      </c>
      <c r="O755" s="1026">
        <f t="shared" ref="O755:P755" ca="1" si="566">O756+O760+O764+O768</f>
        <v>0</v>
      </c>
      <c r="P755" s="1026">
        <f t="shared" ca="1" si="566"/>
        <v>0</v>
      </c>
      <c r="Q755" s="512">
        <f t="shared" ca="1" si="564"/>
        <v>0</v>
      </c>
      <c r="R755" s="321"/>
      <c r="S755" s="319" t="s">
        <v>148</v>
      </c>
    </row>
    <row r="756" spans="1:19" ht="13" hidden="1" customHeight="1" x14ac:dyDescent="0.35">
      <c r="A756" s="235"/>
      <c r="B756" s="445"/>
      <c r="C756" s="544" t="s">
        <v>1155</v>
      </c>
      <c r="D756" s="1129"/>
      <c r="E756" s="434" t="s">
        <v>1156</v>
      </c>
      <c r="F756" s="1078">
        <f ca="1">F757+OFFSET($E758,0,F$8)</f>
        <v>0</v>
      </c>
      <c r="G756" s="1078">
        <f t="shared" ref="G756:Q756" ca="1" si="567">G757+G758</f>
        <v>0</v>
      </c>
      <c r="H756" s="1078">
        <f t="shared" ca="1" si="567"/>
        <v>0</v>
      </c>
      <c r="I756" s="1078">
        <f t="shared" ca="1" si="567"/>
        <v>0</v>
      </c>
      <c r="J756" s="1078">
        <f t="shared" ca="1" si="567"/>
        <v>0</v>
      </c>
      <c r="K756" s="1078">
        <f t="shared" ca="1" si="567"/>
        <v>0</v>
      </c>
      <c r="L756" s="1078">
        <f t="shared" ca="1" si="567"/>
        <v>0</v>
      </c>
      <c r="M756" s="1078">
        <f t="shared" ref="M756:N756" ca="1" si="568">M757+M758</f>
        <v>0</v>
      </c>
      <c r="N756" s="1078">
        <f t="shared" ca="1" si="568"/>
        <v>0</v>
      </c>
      <c r="O756" s="1078">
        <f t="shared" ref="O756:P756" ca="1" si="569">O757+O758</f>
        <v>0</v>
      </c>
      <c r="P756" s="1078">
        <f t="shared" ca="1" si="569"/>
        <v>0</v>
      </c>
      <c r="Q756" s="545">
        <f t="shared" ca="1" si="567"/>
        <v>0</v>
      </c>
      <c r="R756" s="321"/>
      <c r="S756" s="319" t="s">
        <v>82</v>
      </c>
    </row>
    <row r="757" spans="1:19" ht="13" hidden="1" customHeight="1" x14ac:dyDescent="0.35">
      <c r="A757" s="235"/>
      <c r="B757" s="554"/>
      <c r="C757" s="547" t="s">
        <v>1157</v>
      </c>
      <c r="D757" s="1130"/>
      <c r="E757" s="586" t="s">
        <v>1158</v>
      </c>
      <c r="F757" s="1079">
        <v>0</v>
      </c>
      <c r="G757" s="1079">
        <v>0</v>
      </c>
      <c r="H757" s="1079">
        <v>0</v>
      </c>
      <c r="I757" s="1079">
        <v>0</v>
      </c>
      <c r="J757" s="1079">
        <v>0</v>
      </c>
      <c r="K757" s="1079">
        <v>0</v>
      </c>
      <c r="L757" s="1079">
        <v>0</v>
      </c>
      <c r="M757" s="1079">
        <v>0</v>
      </c>
      <c r="N757" s="1079">
        <v>0</v>
      </c>
      <c r="O757" s="1079">
        <v>0</v>
      </c>
      <c r="P757" s="1079">
        <v>0</v>
      </c>
      <c r="Q757" s="577">
        <v>0</v>
      </c>
      <c r="R757" s="321"/>
      <c r="S757" s="319" t="s">
        <v>903</v>
      </c>
    </row>
    <row r="758" spans="1:19" ht="13" hidden="1" customHeight="1" x14ac:dyDescent="0.35">
      <c r="A758" s="235"/>
      <c r="B758" s="554"/>
      <c r="C758" s="549" t="s">
        <v>1155</v>
      </c>
      <c r="D758" s="1119">
        <f ca="1">OFFSET(D758,0,MAX(2,$D$7-5))</f>
        <v>0</v>
      </c>
      <c r="E758" s="349" t="s">
        <v>1159</v>
      </c>
      <c r="F758" s="1080"/>
      <c r="G758" s="1081">
        <f ca="1">OFFSET(G758,0,-1)+OFFSET(G758,1,0)+OFFSET($E$487,0,G$8)+G$1151</f>
        <v>0</v>
      </c>
      <c r="H758" s="1081">
        <f t="shared" ref="H758:Q758" ca="1" si="570">OFFSET(H758,0,-1)+OFFSET(H758,1,0)+OFFSET($E$487,0,H$8)+H$1151</f>
        <v>0</v>
      </c>
      <c r="I758" s="1081">
        <f t="shared" ca="1" si="570"/>
        <v>0</v>
      </c>
      <c r="J758" s="1081">
        <f t="shared" ca="1" si="570"/>
        <v>0</v>
      </c>
      <c r="K758" s="1081">
        <f t="shared" ca="1" si="570"/>
        <v>0</v>
      </c>
      <c r="L758" s="1081">
        <f t="shared" ca="1" si="570"/>
        <v>0</v>
      </c>
      <c r="M758" s="1081">
        <f t="shared" ca="1" si="570"/>
        <v>0</v>
      </c>
      <c r="N758" s="1081">
        <f t="shared" ca="1" si="570"/>
        <v>0</v>
      </c>
      <c r="O758" s="1081">
        <f t="shared" ca="1" si="570"/>
        <v>0</v>
      </c>
      <c r="P758" s="1081">
        <f t="shared" ca="1" si="570"/>
        <v>0</v>
      </c>
      <c r="Q758" s="1081">
        <f t="shared" ca="1" si="570"/>
        <v>0</v>
      </c>
      <c r="R758" s="321"/>
      <c r="S758" s="319" t="s">
        <v>903</v>
      </c>
    </row>
    <row r="759" spans="1:19" ht="16.5" hidden="1" customHeight="1" x14ac:dyDescent="0.35">
      <c r="A759" s="235"/>
      <c r="B759" s="554"/>
      <c r="C759" s="552" t="s">
        <v>1103</v>
      </c>
      <c r="D759" s="1131">
        <v>0</v>
      </c>
      <c r="E759" s="592" t="s">
        <v>1160</v>
      </c>
      <c r="F759" s="1082"/>
      <c r="G759" s="1082">
        <f>IF(AND(G$5=0,NoZeroCol=1),0,G$1166)</f>
        <v>0</v>
      </c>
      <c r="H759" s="1082">
        <f t="shared" ref="H759:P759" ca="1" si="571">IF(H$1=FinMonth,MIN(0,MAX(-IF(BalDepr09=1,$D758,OFFSET(H758,0,-1))*$D759/100,-OFFSET(H758,0,-1))),0)+H$1166</f>
        <v>0</v>
      </c>
      <c r="I759" s="1082">
        <f t="shared" ca="1" si="571"/>
        <v>0</v>
      </c>
      <c r="J759" s="1082">
        <f t="shared" ca="1" si="571"/>
        <v>0</v>
      </c>
      <c r="K759" s="1082">
        <f t="shared" ca="1" si="571"/>
        <v>0</v>
      </c>
      <c r="L759" s="1082">
        <f t="shared" ca="1" si="571"/>
        <v>0</v>
      </c>
      <c r="M759" s="1082">
        <f t="shared" ca="1" si="571"/>
        <v>0</v>
      </c>
      <c r="N759" s="1082">
        <f t="shared" ca="1" si="571"/>
        <v>0</v>
      </c>
      <c r="O759" s="1082">
        <f t="shared" ca="1" si="571"/>
        <v>0</v>
      </c>
      <c r="P759" s="1082">
        <f t="shared" ca="1" si="571"/>
        <v>0</v>
      </c>
      <c r="Q759" s="576"/>
      <c r="R759" s="321"/>
      <c r="S759" s="319" t="s">
        <v>903</v>
      </c>
    </row>
    <row r="760" spans="1:19" ht="13" hidden="1" customHeight="1" x14ac:dyDescent="0.35">
      <c r="A760" s="235"/>
      <c r="B760" s="445"/>
      <c r="C760" s="544" t="s">
        <v>1161</v>
      </c>
      <c r="D760" s="1129"/>
      <c r="E760" s="434" t="s">
        <v>1162</v>
      </c>
      <c r="F760" s="1078">
        <f ca="1">F761+OFFSET($E762,0,F$8)</f>
        <v>0</v>
      </c>
      <c r="G760" s="1078">
        <f t="shared" ref="G760:Q760" ca="1" si="572">G761+G762</f>
        <v>0</v>
      </c>
      <c r="H760" s="1078">
        <f t="shared" ca="1" si="572"/>
        <v>0</v>
      </c>
      <c r="I760" s="1078">
        <f t="shared" ca="1" si="572"/>
        <v>0</v>
      </c>
      <c r="J760" s="1078">
        <f t="shared" ca="1" si="572"/>
        <v>0</v>
      </c>
      <c r="K760" s="1078">
        <f t="shared" ca="1" si="572"/>
        <v>0</v>
      </c>
      <c r="L760" s="1078">
        <f t="shared" ca="1" si="572"/>
        <v>0</v>
      </c>
      <c r="M760" s="1078">
        <f t="shared" ref="M760:N760" ca="1" si="573">M761+M762</f>
        <v>0</v>
      </c>
      <c r="N760" s="1078">
        <f t="shared" ca="1" si="573"/>
        <v>0</v>
      </c>
      <c r="O760" s="1078">
        <f t="shared" ref="O760:P760" ca="1" si="574">O761+O762</f>
        <v>0</v>
      </c>
      <c r="P760" s="1078">
        <f t="shared" ca="1" si="574"/>
        <v>0</v>
      </c>
      <c r="Q760" s="545">
        <f t="shared" ca="1" si="572"/>
        <v>0</v>
      </c>
      <c r="R760" s="321"/>
      <c r="S760" s="319" t="s">
        <v>82</v>
      </c>
    </row>
    <row r="761" spans="1:19" ht="13" hidden="1" customHeight="1" x14ac:dyDescent="0.35">
      <c r="A761" s="235"/>
      <c r="B761" s="554"/>
      <c r="C761" s="547" t="s">
        <v>1163</v>
      </c>
      <c r="D761" s="1130"/>
      <c r="E761" s="586" t="s">
        <v>1164</v>
      </c>
      <c r="F761" s="1079">
        <v>0</v>
      </c>
      <c r="G761" s="1079">
        <v>0</v>
      </c>
      <c r="H761" s="1079">
        <v>0</v>
      </c>
      <c r="I761" s="1079">
        <v>0</v>
      </c>
      <c r="J761" s="1079">
        <v>0</v>
      </c>
      <c r="K761" s="1079">
        <v>0</v>
      </c>
      <c r="L761" s="1079">
        <v>0</v>
      </c>
      <c r="M761" s="1079">
        <v>0</v>
      </c>
      <c r="N761" s="1079">
        <v>0</v>
      </c>
      <c r="O761" s="1079">
        <v>0</v>
      </c>
      <c r="P761" s="1079">
        <v>0</v>
      </c>
      <c r="Q761" s="577">
        <v>0</v>
      </c>
      <c r="R761" s="321"/>
      <c r="S761" s="319" t="s">
        <v>903</v>
      </c>
    </row>
    <row r="762" spans="1:19" ht="13" hidden="1" customHeight="1" x14ac:dyDescent="0.35">
      <c r="A762" s="235"/>
      <c r="B762" s="554"/>
      <c r="C762" s="549" t="s">
        <v>1161</v>
      </c>
      <c r="D762" s="1119">
        <f ca="1">OFFSET(D762,0,MAX(2,$D$7-5))</f>
        <v>0</v>
      </c>
      <c r="E762" s="349" t="s">
        <v>1165</v>
      </c>
      <c r="F762" s="1080"/>
      <c r="G762" s="1081">
        <f ca="1">OFFSET(G762,0,-1)+OFFSET(G762,1,0)+G$1152</f>
        <v>0</v>
      </c>
      <c r="H762" s="1081">
        <f t="shared" ref="H762:Q762" ca="1" si="575">OFFSET(H762,0,-1)+OFFSET(H762,1,0)+H$1152</f>
        <v>0</v>
      </c>
      <c r="I762" s="1081">
        <f t="shared" ca="1" si="575"/>
        <v>0</v>
      </c>
      <c r="J762" s="1081">
        <f t="shared" ca="1" si="575"/>
        <v>0</v>
      </c>
      <c r="K762" s="1081">
        <f t="shared" ca="1" si="575"/>
        <v>0</v>
      </c>
      <c r="L762" s="1081">
        <f t="shared" ca="1" si="575"/>
        <v>0</v>
      </c>
      <c r="M762" s="1081">
        <f t="shared" ca="1" si="575"/>
        <v>0</v>
      </c>
      <c r="N762" s="1081">
        <f t="shared" ca="1" si="575"/>
        <v>0</v>
      </c>
      <c r="O762" s="1081">
        <f t="shared" ca="1" si="575"/>
        <v>0</v>
      </c>
      <c r="P762" s="1081">
        <f t="shared" ca="1" si="575"/>
        <v>0</v>
      </c>
      <c r="Q762" s="550">
        <f t="shared" ca="1" si="575"/>
        <v>0</v>
      </c>
      <c r="R762" s="321"/>
      <c r="S762" s="319" t="s">
        <v>903</v>
      </c>
    </row>
    <row r="763" spans="1:19" ht="16.5" hidden="1" customHeight="1" x14ac:dyDescent="0.35">
      <c r="A763" s="235"/>
      <c r="B763" s="554"/>
      <c r="C763" s="552" t="s">
        <v>1103</v>
      </c>
      <c r="D763" s="1131">
        <v>0</v>
      </c>
      <c r="E763" s="592" t="s">
        <v>1166</v>
      </c>
      <c r="F763" s="1082"/>
      <c r="G763" s="1082">
        <f>IF(AND(G$5=0,NoZeroCol=1),0,G$1168)</f>
        <v>0</v>
      </c>
      <c r="H763" s="1082">
        <f t="shared" ref="H763:P763" ca="1" si="576">IF(H$1=FinMonth,MIN(0,MAX(-IF(BalDepr10=1,$D762,OFFSET(H762,0,-1))*$D763/100,-OFFSET(H762,0,-1))),0)+H$1168</f>
        <v>0</v>
      </c>
      <c r="I763" s="1082">
        <f t="shared" ca="1" si="576"/>
        <v>0</v>
      </c>
      <c r="J763" s="1082">
        <f t="shared" ca="1" si="576"/>
        <v>0</v>
      </c>
      <c r="K763" s="1082">
        <f t="shared" ca="1" si="576"/>
        <v>0</v>
      </c>
      <c r="L763" s="1082">
        <f t="shared" ca="1" si="576"/>
        <v>0</v>
      </c>
      <c r="M763" s="1082">
        <f t="shared" ca="1" si="576"/>
        <v>0</v>
      </c>
      <c r="N763" s="1082">
        <f t="shared" ca="1" si="576"/>
        <v>0</v>
      </c>
      <c r="O763" s="1082">
        <f t="shared" ca="1" si="576"/>
        <v>0</v>
      </c>
      <c r="P763" s="1082">
        <f t="shared" ca="1" si="576"/>
        <v>0</v>
      </c>
      <c r="Q763" s="576"/>
      <c r="R763" s="321"/>
      <c r="S763" s="319" t="s">
        <v>903</v>
      </c>
    </row>
    <row r="764" spans="1:19" ht="13" hidden="1" customHeight="1" x14ac:dyDescent="0.35">
      <c r="A764" s="235"/>
      <c r="B764" s="445"/>
      <c r="C764" s="544" t="s">
        <v>1167</v>
      </c>
      <c r="D764" s="1129"/>
      <c r="E764" s="434" t="s">
        <v>1168</v>
      </c>
      <c r="F764" s="1078">
        <f ca="1">F765+OFFSET($E766,0,F$8)</f>
        <v>0</v>
      </c>
      <c r="G764" s="1078">
        <f t="shared" ref="G764:Q764" ca="1" si="577">G765+G766</f>
        <v>0</v>
      </c>
      <c r="H764" s="1078">
        <f t="shared" ca="1" si="577"/>
        <v>0</v>
      </c>
      <c r="I764" s="1078">
        <f t="shared" ca="1" si="577"/>
        <v>0</v>
      </c>
      <c r="J764" s="1078">
        <f t="shared" ca="1" si="577"/>
        <v>0</v>
      </c>
      <c r="K764" s="1078">
        <f t="shared" ca="1" si="577"/>
        <v>0</v>
      </c>
      <c r="L764" s="1078">
        <f t="shared" ca="1" si="577"/>
        <v>0</v>
      </c>
      <c r="M764" s="1078">
        <f t="shared" ref="M764:N764" ca="1" si="578">M765+M766</f>
        <v>0</v>
      </c>
      <c r="N764" s="1078">
        <f t="shared" ca="1" si="578"/>
        <v>0</v>
      </c>
      <c r="O764" s="1078">
        <f t="shared" ref="O764:P764" ca="1" si="579">O765+O766</f>
        <v>0</v>
      </c>
      <c r="P764" s="1078">
        <f t="shared" ca="1" si="579"/>
        <v>0</v>
      </c>
      <c r="Q764" s="545">
        <f t="shared" ca="1" si="577"/>
        <v>0</v>
      </c>
      <c r="R764" s="321"/>
      <c r="S764" s="319" t="s">
        <v>82</v>
      </c>
    </row>
    <row r="765" spans="1:19" ht="13" hidden="1" customHeight="1" x14ac:dyDescent="0.35">
      <c r="A765" s="235"/>
      <c r="B765" s="554"/>
      <c r="C765" s="547" t="s">
        <v>1169</v>
      </c>
      <c r="D765" s="1130"/>
      <c r="E765" s="586" t="s">
        <v>1170</v>
      </c>
      <c r="F765" s="1079">
        <v>0</v>
      </c>
      <c r="G765" s="1079">
        <v>0</v>
      </c>
      <c r="H765" s="1079">
        <v>0</v>
      </c>
      <c r="I765" s="1079">
        <v>0</v>
      </c>
      <c r="J765" s="1079">
        <v>0</v>
      </c>
      <c r="K765" s="1079">
        <v>0</v>
      </c>
      <c r="L765" s="1079">
        <v>0</v>
      </c>
      <c r="M765" s="1079">
        <v>0</v>
      </c>
      <c r="N765" s="1079">
        <v>0</v>
      </c>
      <c r="O765" s="1079">
        <v>0</v>
      </c>
      <c r="P765" s="1079">
        <v>0</v>
      </c>
      <c r="Q765" s="577">
        <v>0</v>
      </c>
      <c r="R765" s="321"/>
      <c r="S765" s="319" t="s">
        <v>903</v>
      </c>
    </row>
    <row r="766" spans="1:19" ht="13" hidden="1" customHeight="1" x14ac:dyDescent="0.35">
      <c r="A766" s="235"/>
      <c r="B766" s="554"/>
      <c r="C766" s="549" t="s">
        <v>1167</v>
      </c>
      <c r="D766" s="1119">
        <f ca="1">OFFSET(D766,0,MAX(2,$D$7-5))</f>
        <v>0</v>
      </c>
      <c r="E766" s="349" t="s">
        <v>1171</v>
      </c>
      <c r="F766" s="1080"/>
      <c r="G766" s="1081">
        <f ca="1">OFFSET(G766,0,-1)+OFFSET(G766,1,0)+G$1153</f>
        <v>0</v>
      </c>
      <c r="H766" s="1081">
        <f t="shared" ref="H766:Q766" ca="1" si="580">OFFSET(H766,0,-1)+OFFSET(H766,1,0)+H$1153</f>
        <v>0</v>
      </c>
      <c r="I766" s="1081">
        <f t="shared" ca="1" si="580"/>
        <v>0</v>
      </c>
      <c r="J766" s="1081">
        <f t="shared" ca="1" si="580"/>
        <v>0</v>
      </c>
      <c r="K766" s="1081">
        <f t="shared" ca="1" si="580"/>
        <v>0</v>
      </c>
      <c r="L766" s="1081">
        <f t="shared" ca="1" si="580"/>
        <v>0</v>
      </c>
      <c r="M766" s="1081">
        <f t="shared" ca="1" si="580"/>
        <v>0</v>
      </c>
      <c r="N766" s="1081">
        <f t="shared" ca="1" si="580"/>
        <v>0</v>
      </c>
      <c r="O766" s="1081">
        <f t="shared" ca="1" si="580"/>
        <v>0</v>
      </c>
      <c r="P766" s="1081">
        <f t="shared" ca="1" si="580"/>
        <v>0</v>
      </c>
      <c r="Q766" s="550">
        <f t="shared" ca="1" si="580"/>
        <v>0</v>
      </c>
      <c r="R766" s="321"/>
      <c r="S766" s="319" t="s">
        <v>903</v>
      </c>
    </row>
    <row r="767" spans="1:19" ht="16.5" hidden="1" customHeight="1" x14ac:dyDescent="0.35">
      <c r="A767" s="235"/>
      <c r="B767" s="554"/>
      <c r="C767" s="552" t="s">
        <v>1103</v>
      </c>
      <c r="D767" s="1131">
        <v>0</v>
      </c>
      <c r="E767" s="592" t="s">
        <v>1172</v>
      </c>
      <c r="F767" s="1082"/>
      <c r="G767" s="1082">
        <f>IF(AND(G$5=0,NoZeroCol=1),0,G$1170)</f>
        <v>0</v>
      </c>
      <c r="H767" s="1082">
        <f t="shared" ref="H767:P767" ca="1" si="581">IF(H$1=FinMonth,MIN(0,MAX(-IF(BalDepr11=1,$D766,OFFSET(H766,0,-1))*$D767/100,-OFFSET(H766,0,-1))),0)+H$1170</f>
        <v>0</v>
      </c>
      <c r="I767" s="1082">
        <f t="shared" ca="1" si="581"/>
        <v>0</v>
      </c>
      <c r="J767" s="1082">
        <f t="shared" ca="1" si="581"/>
        <v>0</v>
      </c>
      <c r="K767" s="1082">
        <f t="shared" ca="1" si="581"/>
        <v>0</v>
      </c>
      <c r="L767" s="1082">
        <f t="shared" ca="1" si="581"/>
        <v>0</v>
      </c>
      <c r="M767" s="1082">
        <f t="shared" ca="1" si="581"/>
        <v>0</v>
      </c>
      <c r="N767" s="1082">
        <f t="shared" ca="1" si="581"/>
        <v>0</v>
      </c>
      <c r="O767" s="1082">
        <f t="shared" ca="1" si="581"/>
        <v>0</v>
      </c>
      <c r="P767" s="1082">
        <f t="shared" ca="1" si="581"/>
        <v>0</v>
      </c>
      <c r="Q767" s="576"/>
      <c r="R767" s="321"/>
      <c r="S767" s="319" t="s">
        <v>903</v>
      </c>
    </row>
    <row r="768" spans="1:19" ht="13" hidden="1" customHeight="1" x14ac:dyDescent="0.35">
      <c r="A768" s="235"/>
      <c r="B768" s="445"/>
      <c r="C768" s="544" t="s">
        <v>1173</v>
      </c>
      <c r="D768" s="1129"/>
      <c r="E768" s="434" t="s">
        <v>1174</v>
      </c>
      <c r="F768" s="1078">
        <f ca="1">F769+OFFSET($E770,0,F$8)</f>
        <v>0</v>
      </c>
      <c r="G768" s="1078">
        <f t="shared" ref="G768:Q768" ca="1" si="582">G769+G770</f>
        <v>0</v>
      </c>
      <c r="H768" s="1078">
        <f t="shared" ca="1" si="582"/>
        <v>0</v>
      </c>
      <c r="I768" s="1078">
        <f t="shared" ca="1" si="582"/>
        <v>0</v>
      </c>
      <c r="J768" s="1078">
        <f t="shared" ca="1" si="582"/>
        <v>0</v>
      </c>
      <c r="K768" s="1078">
        <f t="shared" ca="1" si="582"/>
        <v>0</v>
      </c>
      <c r="L768" s="1078">
        <f t="shared" ca="1" si="582"/>
        <v>0</v>
      </c>
      <c r="M768" s="1078">
        <f t="shared" ref="M768:N768" ca="1" si="583">M769+M770</f>
        <v>0</v>
      </c>
      <c r="N768" s="1078">
        <f t="shared" ca="1" si="583"/>
        <v>0</v>
      </c>
      <c r="O768" s="1078">
        <f t="shared" ref="O768:P768" ca="1" si="584">O769+O770</f>
        <v>0</v>
      </c>
      <c r="P768" s="1078">
        <f t="shared" ca="1" si="584"/>
        <v>0</v>
      </c>
      <c r="Q768" s="545">
        <f t="shared" ca="1" si="582"/>
        <v>0</v>
      </c>
      <c r="R768" s="321"/>
      <c r="S768" s="319" t="s">
        <v>82</v>
      </c>
    </row>
    <row r="769" spans="1:19" ht="13" hidden="1" customHeight="1" x14ac:dyDescent="0.35">
      <c r="A769" s="235"/>
      <c r="B769" s="554"/>
      <c r="C769" s="547" t="s">
        <v>1175</v>
      </c>
      <c r="D769" s="1130"/>
      <c r="E769" s="586" t="s">
        <v>1176</v>
      </c>
      <c r="F769" s="1079">
        <v>0</v>
      </c>
      <c r="G769" s="1079">
        <v>0</v>
      </c>
      <c r="H769" s="1079">
        <v>0</v>
      </c>
      <c r="I769" s="1079">
        <v>0</v>
      </c>
      <c r="J769" s="1079">
        <v>0</v>
      </c>
      <c r="K769" s="1079">
        <v>0</v>
      </c>
      <c r="L769" s="1079">
        <v>0</v>
      </c>
      <c r="M769" s="1079">
        <v>0</v>
      </c>
      <c r="N769" s="1079">
        <v>0</v>
      </c>
      <c r="O769" s="1079">
        <v>0</v>
      </c>
      <c r="P769" s="1079">
        <v>0</v>
      </c>
      <c r="Q769" s="577">
        <v>0</v>
      </c>
      <c r="R769" s="321"/>
      <c r="S769" s="319" t="s">
        <v>903</v>
      </c>
    </row>
    <row r="770" spans="1:19" ht="13" hidden="1" customHeight="1" x14ac:dyDescent="0.35">
      <c r="A770" s="235"/>
      <c r="B770" s="554"/>
      <c r="C770" s="549" t="s">
        <v>1173</v>
      </c>
      <c r="D770" s="1119">
        <f ca="1">OFFSET(D770,0,MAX(2,$D$7-5))</f>
        <v>0</v>
      </c>
      <c r="E770" s="349" t="s">
        <v>1177</v>
      </c>
      <c r="F770" s="1080"/>
      <c r="G770" s="1081">
        <f ca="1">OFFSET(G770,0,-1)+OFFSET(G770,1,0)+G$1108</f>
        <v>0</v>
      </c>
      <c r="H770" s="1081">
        <f t="shared" ref="H770:P770" ca="1" si="585">OFFSET(H770,0,-1)+OFFSET(H770,1,0)+H$1108</f>
        <v>0</v>
      </c>
      <c r="I770" s="1081">
        <f t="shared" ca="1" si="585"/>
        <v>0</v>
      </c>
      <c r="J770" s="1081">
        <f t="shared" ca="1" si="585"/>
        <v>0</v>
      </c>
      <c r="K770" s="1081">
        <f t="shared" ca="1" si="585"/>
        <v>0</v>
      </c>
      <c r="L770" s="1081">
        <f t="shared" ca="1" si="585"/>
        <v>0</v>
      </c>
      <c r="M770" s="1081">
        <f t="shared" ca="1" si="585"/>
        <v>0</v>
      </c>
      <c r="N770" s="1081">
        <f t="shared" ca="1" si="585"/>
        <v>0</v>
      </c>
      <c r="O770" s="1081">
        <f t="shared" ca="1" si="585"/>
        <v>0</v>
      </c>
      <c r="P770" s="1081">
        <f t="shared" ca="1" si="585"/>
        <v>0</v>
      </c>
      <c r="Q770" s="550">
        <f ca="1">OFFSET(Q770,0,-1)+OFFSET(Q770,1,0)</f>
        <v>0</v>
      </c>
      <c r="R770" s="321"/>
      <c r="S770" s="319" t="s">
        <v>903</v>
      </c>
    </row>
    <row r="771" spans="1:19" ht="16.5" hidden="1" customHeight="1" x14ac:dyDescent="0.35">
      <c r="A771" s="235"/>
      <c r="B771" s="554"/>
      <c r="C771" s="552" t="s">
        <v>1103</v>
      </c>
      <c r="D771" s="1131">
        <v>0</v>
      </c>
      <c r="E771" s="592" t="s">
        <v>1178</v>
      </c>
      <c r="F771" s="1082"/>
      <c r="G771" s="1082">
        <f>IF(AND(G$5=0,NoZeroCol=1),0,G$1109)</f>
        <v>0</v>
      </c>
      <c r="H771" s="1082">
        <f t="shared" ref="H771:P771" ca="1" si="586">IF(H$1=FinMonth,MIN(0,MAX(-IF(BalDepr12=1,$D770,OFFSET(H770,0,-1))*$D771/100,-OFFSET(H770,0,-1))),0)+H$1109</f>
        <v>0</v>
      </c>
      <c r="I771" s="1082">
        <f t="shared" ca="1" si="586"/>
        <v>0</v>
      </c>
      <c r="J771" s="1082">
        <f t="shared" ca="1" si="586"/>
        <v>0</v>
      </c>
      <c r="K771" s="1082">
        <f t="shared" ca="1" si="586"/>
        <v>0</v>
      </c>
      <c r="L771" s="1082">
        <f t="shared" ca="1" si="586"/>
        <v>0</v>
      </c>
      <c r="M771" s="1082">
        <f t="shared" ca="1" si="586"/>
        <v>0</v>
      </c>
      <c r="N771" s="1082">
        <f t="shared" ca="1" si="586"/>
        <v>0</v>
      </c>
      <c r="O771" s="1082">
        <f t="shared" ca="1" si="586"/>
        <v>0</v>
      </c>
      <c r="P771" s="1082">
        <f t="shared" ca="1" si="586"/>
        <v>0</v>
      </c>
      <c r="Q771" s="576"/>
      <c r="R771" s="321"/>
      <c r="S771" s="319" t="s">
        <v>903</v>
      </c>
    </row>
    <row r="772" spans="1:19" ht="13" customHeight="1" x14ac:dyDescent="0.35">
      <c r="A772" s="235"/>
      <c r="B772" s="445"/>
      <c r="C772" s="503" t="str">
        <f>"Total "&amp;LOWER(B716)</f>
        <v>Total fixed assets and other non-current assets</v>
      </c>
      <c r="D772" s="1121"/>
      <c r="E772" s="503" t="s">
        <v>1179</v>
      </c>
      <c r="F772" s="1055">
        <f t="shared" ref="F772:Q772" ca="1" si="587">IF(ABS(F717+F734+F755)&gt;0.00000001,F717+F734+F755,0)</f>
        <v>0</v>
      </c>
      <c r="G772" s="1055">
        <f t="shared" ca="1" si="587"/>
        <v>0</v>
      </c>
      <c r="H772" s="1055">
        <f t="shared" ca="1" si="587"/>
        <v>1498333.3333333333</v>
      </c>
      <c r="I772" s="1055">
        <f t="shared" ca="1" si="587"/>
        <v>1974166.6666666665</v>
      </c>
      <c r="J772" s="1055">
        <f t="shared" ca="1" si="587"/>
        <v>2298833.3333333335</v>
      </c>
      <c r="K772" s="1055">
        <f t="shared" ca="1" si="587"/>
        <v>2622333.3333333335</v>
      </c>
      <c r="L772" s="1055">
        <f t="shared" ca="1" si="587"/>
        <v>2319958.3333333335</v>
      </c>
      <c r="M772" s="1055">
        <f t="shared" ref="M772:N772" ca="1" si="588">IF(ABS(M717+M734+M755)&gt;0.00000001,M717+M734+M755,0)</f>
        <v>2143677.0833333335</v>
      </c>
      <c r="N772" s="1055">
        <f t="shared" ca="1" si="588"/>
        <v>1921341.1458333335</v>
      </c>
      <c r="O772" s="1055">
        <f t="shared" ref="O772:P772" ca="1" si="589">IF(ABS(O717+O734+O755)&gt;0.00000001,O717+O734+O755,0)</f>
        <v>1765714.1927083335</v>
      </c>
      <c r="P772" s="1055">
        <f t="shared" ca="1" si="589"/>
        <v>1589806.4778645835</v>
      </c>
      <c r="Q772" s="556">
        <f t="shared" ca="1" si="587"/>
        <v>0</v>
      </c>
      <c r="R772" s="321"/>
      <c r="S772" s="319" t="s">
        <v>71</v>
      </c>
    </row>
    <row r="773" spans="1:19" ht="13" customHeight="1" x14ac:dyDescent="0.35">
      <c r="A773" s="235"/>
      <c r="B773" s="445" t="s">
        <v>1180</v>
      </c>
      <c r="C773" s="434"/>
      <c r="D773" s="1118"/>
      <c r="E773" s="434" t="s">
        <v>1181</v>
      </c>
      <c r="F773" s="1036">
        <f t="shared" ref="F773:Q773" ca="1" si="590">F780</f>
        <v>0</v>
      </c>
      <c r="G773" s="1036">
        <f t="shared" ca="1" si="590"/>
        <v>0</v>
      </c>
      <c r="H773" s="1036">
        <f t="shared" ca="1" si="590"/>
        <v>-931400</v>
      </c>
      <c r="I773" s="1036">
        <f t="shared" ca="1" si="590"/>
        <v>-1334791.1042782837</v>
      </c>
      <c r="J773" s="1036">
        <f t="shared" ca="1" si="590"/>
        <v>-1583123.3807083378</v>
      </c>
      <c r="K773" s="1036">
        <f t="shared" ca="1" si="590"/>
        <v>-1906299.8566703545</v>
      </c>
      <c r="L773" s="1036">
        <f t="shared" ca="1" si="590"/>
        <v>-278080.63998620538</v>
      </c>
      <c r="M773" s="1036">
        <f t="shared" ref="M773:N773" ca="1" si="591">M780</f>
        <v>1986132.0254518767</v>
      </c>
      <c r="N773" s="1036">
        <f t="shared" ca="1" si="591"/>
        <v>5229762.1343635283</v>
      </c>
      <c r="O773" s="1036">
        <f t="shared" ref="O773:P773" ca="1" si="592">O780</f>
        <v>9526923.3380927984</v>
      </c>
      <c r="P773" s="1036">
        <f t="shared" ca="1" si="592"/>
        <v>15215309.927895531</v>
      </c>
      <c r="Q773" s="1015">
        <f t="shared" ca="1" si="590"/>
        <v>14329994.434887145</v>
      </c>
      <c r="R773" s="321"/>
      <c r="S773" s="319" t="s">
        <v>71</v>
      </c>
    </row>
    <row r="774" spans="1:19" ht="13" customHeight="1" x14ac:dyDescent="0.35">
      <c r="A774" s="235"/>
      <c r="B774" s="445"/>
      <c r="C774" s="434" t="s">
        <v>1182</v>
      </c>
      <c r="D774" s="1119"/>
      <c r="E774" s="434" t="s">
        <v>1183</v>
      </c>
      <c r="F774" s="1025"/>
      <c r="G774" s="1026">
        <f t="shared" ref="G774" ca="1" si="593">-G596+OFFSET(G774,0,-1)+G$1110</f>
        <v>0</v>
      </c>
      <c r="H774" s="1026">
        <f ca="1">-H596+OFFSET(H774,0,-1)+H$1110</f>
        <v>661500</v>
      </c>
      <c r="I774" s="1026">
        <f t="shared" ref="I774:Q774" ca="1" si="594">-I596+OFFSET(I774,0,-1)+I$1110</f>
        <v>1003532.2463178703</v>
      </c>
      <c r="J774" s="1026">
        <f t="shared" ca="1" si="594"/>
        <v>1020648.0407107412</v>
      </c>
      <c r="K774" s="1026">
        <f t="shared" ca="1" si="594"/>
        <v>1038055.7543904847</v>
      </c>
      <c r="L774" s="1026">
        <f t="shared" ca="1" si="594"/>
        <v>1136681.2495038167</v>
      </c>
      <c r="M774" s="1026">
        <f t="shared" ref="M774:N774" ca="1" si="595">-M596+OFFSET(M774,0,-1)+M$1110</f>
        <v>1392434.5306421751</v>
      </c>
      <c r="N774" s="1026">
        <f t="shared" ca="1" si="595"/>
        <v>1705732.3000366648</v>
      </c>
      <c r="O774" s="1026">
        <f t="shared" ref="O774:P774" ca="1" si="596">-O596+OFFSET(O774,0,-1)+O$1110</f>
        <v>2089522.0675449143</v>
      </c>
      <c r="P774" s="1026">
        <f t="shared" ca="1" si="596"/>
        <v>2559664.5327425199</v>
      </c>
      <c r="Q774" s="1256">
        <f t="shared" ca="1" si="594"/>
        <v>0</v>
      </c>
      <c r="R774" s="321"/>
      <c r="S774" s="319" t="s">
        <v>148</v>
      </c>
    </row>
    <row r="775" spans="1:19" ht="13" customHeight="1" x14ac:dyDescent="0.35">
      <c r="A775" s="401"/>
      <c r="B775" s="557"/>
      <c r="C775" s="434" t="s">
        <v>948</v>
      </c>
      <c r="D775" s="1119"/>
      <c r="E775" s="434" t="s">
        <v>1184</v>
      </c>
      <c r="F775" s="1025"/>
      <c r="G775" s="1026">
        <f ca="1">OFFSET(G775,0,-1)-(G$574-OFFSET($E$567,0,G$8)-OFFSET($E$569,0,G$8)-OFFSET($E$571,0,G$8)-OFFSET($E$573,0,G$8))+G$1111</f>
        <v>0</v>
      </c>
      <c r="H775" s="1026">
        <f t="shared" ref="H775:Q775" ca="1" si="597">OFFSET(H775,0,-1)-(H$574-OFFSET($E$567,0,H$8)-OFFSET($E$569,0,H$8)-OFFSET($E$571,0,H$8)-OFFSET($E$573,0,H$8))+H$1111</f>
        <v>945000</v>
      </c>
      <c r="I775" s="1026">
        <f t="shared" ca="1" si="597"/>
        <v>961117.49473981478</v>
      </c>
      <c r="J775" s="1026">
        <f t="shared" ca="1" si="597"/>
        <v>977509.88221686566</v>
      </c>
      <c r="K775" s="1026">
        <f t="shared" ca="1" si="597"/>
        <v>994181.85087797383</v>
      </c>
      <c r="L775" s="1026">
        <f t="shared" ca="1" si="597"/>
        <v>1217872.767325518</v>
      </c>
      <c r="M775" s="1026">
        <f t="shared" ca="1" si="597"/>
        <v>1491894.1399737592</v>
      </c>
      <c r="N775" s="1026">
        <f t="shared" ca="1" si="597"/>
        <v>1827570.3214678552</v>
      </c>
      <c r="O775" s="1026">
        <f t="shared" ca="1" si="597"/>
        <v>2238773.6437981222</v>
      </c>
      <c r="P775" s="1026">
        <f t="shared" ca="1" si="597"/>
        <v>2742497.7136527002</v>
      </c>
      <c r="Q775" s="1256">
        <f t="shared" ca="1" si="597"/>
        <v>0</v>
      </c>
      <c r="R775" s="321"/>
      <c r="S775" s="319" t="s">
        <v>148</v>
      </c>
    </row>
    <row r="776" spans="1:19" ht="13" hidden="1" customHeight="1" x14ac:dyDescent="0.35">
      <c r="A776" s="401"/>
      <c r="B776" s="557"/>
      <c r="C776" s="434" t="s">
        <v>5612</v>
      </c>
      <c r="D776" s="1119"/>
      <c r="E776" s="1254" t="s">
        <v>5657</v>
      </c>
      <c r="F776" s="1025"/>
      <c r="G776" s="1026">
        <f t="shared" ref="G776:Q776" ca="1" si="598">OFFSET(G776,0,-1)-OFFSET($E$567,0,G$8)+G$1236</f>
        <v>0</v>
      </c>
      <c r="H776" s="1026">
        <f t="shared" ca="1" si="598"/>
        <v>0</v>
      </c>
      <c r="I776" s="1026">
        <f t="shared" ca="1" si="598"/>
        <v>0</v>
      </c>
      <c r="J776" s="1026">
        <f t="shared" ca="1" si="598"/>
        <v>0</v>
      </c>
      <c r="K776" s="1026">
        <f t="shared" ca="1" si="598"/>
        <v>0</v>
      </c>
      <c r="L776" s="1026">
        <f t="shared" ca="1" si="598"/>
        <v>0</v>
      </c>
      <c r="M776" s="1026">
        <f t="shared" ca="1" si="598"/>
        <v>0</v>
      </c>
      <c r="N776" s="1026">
        <f t="shared" ca="1" si="598"/>
        <v>0</v>
      </c>
      <c r="O776" s="1026">
        <f t="shared" ca="1" si="598"/>
        <v>0</v>
      </c>
      <c r="P776" s="1026">
        <f t="shared" ca="1" si="598"/>
        <v>0</v>
      </c>
      <c r="Q776" s="1256">
        <f t="shared" ca="1" si="598"/>
        <v>0</v>
      </c>
      <c r="R776" s="321"/>
      <c r="S776" s="319" t="s">
        <v>145</v>
      </c>
    </row>
    <row r="777" spans="1:19" ht="13" customHeight="1" x14ac:dyDescent="0.35">
      <c r="A777" s="235"/>
      <c r="B777" s="445"/>
      <c r="C777" s="434" t="s">
        <v>952</v>
      </c>
      <c r="D777" s="1119"/>
      <c r="E777" s="434" t="s">
        <v>1185</v>
      </c>
      <c r="F777" s="1025"/>
      <c r="G777" s="1026">
        <f t="shared" ref="G777" ca="1" si="599">OFFSET(G777,0,-1)-OFFSET($E$569,0,G$8)+G$1112</f>
        <v>0</v>
      </c>
      <c r="H777" s="1026">
        <f ca="1">OFFSET(H777,0,-1)-OFFSET($E$569,0,H$8)+H$1112</f>
        <v>0</v>
      </c>
      <c r="I777" s="1026">
        <f t="shared" ref="I777:Q777" ca="1" si="600">OFFSET(I777,0,-1)-OFFSET($E$569,0,I$8)+I$1112</f>
        <v>0</v>
      </c>
      <c r="J777" s="1026">
        <f t="shared" ca="1" si="600"/>
        <v>0</v>
      </c>
      <c r="K777" s="1026">
        <f t="shared" ca="1" si="600"/>
        <v>0</v>
      </c>
      <c r="L777" s="1026">
        <f t="shared" ca="1" si="600"/>
        <v>0</v>
      </c>
      <c r="M777" s="1026">
        <f t="shared" ca="1" si="600"/>
        <v>0</v>
      </c>
      <c r="N777" s="1026">
        <f t="shared" ca="1" si="600"/>
        <v>0</v>
      </c>
      <c r="O777" s="1026">
        <f t="shared" ca="1" si="600"/>
        <v>0</v>
      </c>
      <c r="P777" s="1026">
        <f t="shared" ca="1" si="600"/>
        <v>0</v>
      </c>
      <c r="Q777" s="1256">
        <f t="shared" ca="1" si="600"/>
        <v>0</v>
      </c>
      <c r="R777" s="321"/>
      <c r="S777" s="319" t="s">
        <v>148</v>
      </c>
    </row>
    <row r="778" spans="1:19" ht="13" hidden="1" customHeight="1" x14ac:dyDescent="0.35">
      <c r="A778" s="235"/>
      <c r="B778" s="445"/>
      <c r="C778" s="434" t="s">
        <v>5621</v>
      </c>
      <c r="D778" s="1119"/>
      <c r="E778" s="1254" t="s">
        <v>5658</v>
      </c>
      <c r="F778" s="1025"/>
      <c r="G778" s="1026">
        <f t="shared" ref="G778:Q778" ca="1" si="601">OFFSET(G778,0,-1)-OFFSET($E$571,0,G$8)+G$1237</f>
        <v>0</v>
      </c>
      <c r="H778" s="1026">
        <f t="shared" ca="1" si="601"/>
        <v>0</v>
      </c>
      <c r="I778" s="1026">
        <f t="shared" ca="1" si="601"/>
        <v>0</v>
      </c>
      <c r="J778" s="1026">
        <f t="shared" ca="1" si="601"/>
        <v>0</v>
      </c>
      <c r="K778" s="1026">
        <f t="shared" ca="1" si="601"/>
        <v>0</v>
      </c>
      <c r="L778" s="1026">
        <f t="shared" ca="1" si="601"/>
        <v>0</v>
      </c>
      <c r="M778" s="1026">
        <f t="shared" ca="1" si="601"/>
        <v>0</v>
      </c>
      <c r="N778" s="1026">
        <f t="shared" ca="1" si="601"/>
        <v>0</v>
      </c>
      <c r="O778" s="1026">
        <f t="shared" ca="1" si="601"/>
        <v>0</v>
      </c>
      <c r="P778" s="1026">
        <f t="shared" ca="1" si="601"/>
        <v>0</v>
      </c>
      <c r="Q778" s="1256">
        <f t="shared" ca="1" si="601"/>
        <v>0</v>
      </c>
      <c r="R778" s="321"/>
      <c r="S778" s="319" t="s">
        <v>145</v>
      </c>
    </row>
    <row r="779" spans="1:19" ht="13" customHeight="1" x14ac:dyDescent="0.35">
      <c r="A779" s="235"/>
      <c r="B779" s="445"/>
      <c r="C779" s="434" t="s">
        <v>1186</v>
      </c>
      <c r="D779" s="1123"/>
      <c r="E779" s="434" t="s">
        <v>1187</v>
      </c>
      <c r="F779" s="1025"/>
      <c r="G779" s="1058">
        <f ca="1">OFFSET(G779,0,-1)+IF(InvFileType&lt;&gt;2,G$673+G$674+G$675+G$497+OFFSET($E$688,0,G$8)-G1095+G$689-G$693+G$701-G$705+OFFSET($E$696,0,G$8)-SUM(G$1174:G$1204),G$707)-OFFSET($E$573,0,G$8)+G$1115</f>
        <v>0</v>
      </c>
      <c r="H779" s="1058">
        <f t="shared" ref="H779:Q779" ca="1" si="602">OFFSET(H779,0,-1)+IF(InvFileType&lt;&gt;2,H$673+H$674+H$675+H$497+OFFSET($E$688,0,H$8)-H1095+H$689-H$693+H$701-H$705+OFFSET($E$696,0,H$8)-SUM(H$1174:H$1204),H$707)-OFFSET($E$573,0,H$8)+H$1115</f>
        <v>-2537900</v>
      </c>
      <c r="I779" s="1058">
        <f t="shared" ca="1" si="602"/>
        <v>-3299440.8453359688</v>
      </c>
      <c r="J779" s="1058">
        <f t="shared" ca="1" si="602"/>
        <v>-3581281.3036359446</v>
      </c>
      <c r="K779" s="1058">
        <f t="shared" ca="1" si="602"/>
        <v>-3938537.4619388129</v>
      </c>
      <c r="L779" s="1058">
        <f t="shared" ca="1" si="602"/>
        <v>-2632634.65681554</v>
      </c>
      <c r="M779" s="1058">
        <f t="shared" ref="M779:N779" ca="1" si="603">OFFSET(M779,0,-1)+IF(InvFileType&lt;&gt;2,M$673+M$674+M$675+M$497+OFFSET($E$688,0,M$8)-M1095+M$689-M$693+M$701-M$705+OFFSET($E$696,0,M$8)-SUM(M$1174:M$1204),M$707)-OFFSET($E$573,0,M$8)+M$1115</f>
        <v>-898196.64516405761</v>
      </c>
      <c r="N779" s="1058">
        <f t="shared" ca="1" si="603"/>
        <v>1696459.5128590078</v>
      </c>
      <c r="O779" s="1058">
        <f t="shared" ref="O779:P779" ca="1" si="604">OFFSET(O779,0,-1)+IF(InvFileType&lt;&gt;2,O$673+O$674+O$675+O$497+OFFSET($E$688,0,O$8)-O1095+O$689-O$693+O$701-O$705+OFFSET($E$696,0,O$8)-SUM(O$1174:O$1204),O$707)-OFFSET($E$573,0,O$8)+O$1115</f>
        <v>5198627.6267497614</v>
      </c>
      <c r="P779" s="1058">
        <f t="shared" ca="1" si="604"/>
        <v>9913147.6815003101</v>
      </c>
      <c r="Q779" s="1052">
        <f t="shared" ca="1" si="602"/>
        <v>14329994.434887145</v>
      </c>
      <c r="R779" s="455"/>
      <c r="S779" s="319" t="s">
        <v>148</v>
      </c>
    </row>
    <row r="780" spans="1:19" ht="13" customHeight="1" x14ac:dyDescent="0.35">
      <c r="A780" s="235"/>
      <c r="B780" s="524"/>
      <c r="C780" s="511" t="str">
        <f>"Total "&amp;B773</f>
        <v>Total Current Assets</v>
      </c>
      <c r="D780" s="1126"/>
      <c r="E780" s="511" t="s">
        <v>1188</v>
      </c>
      <c r="F780" s="1057">
        <f ca="1">OFFSET($E$774,0,F$8)+OFFSET($E$775,0,F$8)+OFFSET($E$776,0,F$8)+OFFSET($E$777,0,F$8)+OFFSET($E$778,0,F$8)+OFFSET($E$779,0,F$8)</f>
        <v>0</v>
      </c>
      <c r="G780" s="1057">
        <f ca="1">G$774+G$775+G$776+G$777+G$778+G$779</f>
        <v>0</v>
      </c>
      <c r="H780" s="1057">
        <f t="shared" ref="H780:Q780" ca="1" si="605">H$774+H$775+H$776+H$777+H$778+H$779</f>
        <v>-931400</v>
      </c>
      <c r="I780" s="1057">
        <f t="shared" ca="1" si="605"/>
        <v>-1334791.1042782837</v>
      </c>
      <c r="J780" s="1057">
        <f t="shared" ca="1" si="605"/>
        <v>-1583123.3807083378</v>
      </c>
      <c r="K780" s="1057">
        <f t="shared" ca="1" si="605"/>
        <v>-1906299.8566703545</v>
      </c>
      <c r="L780" s="1057">
        <f t="shared" ca="1" si="605"/>
        <v>-278080.63998620538</v>
      </c>
      <c r="M780" s="1057">
        <f t="shared" ca="1" si="605"/>
        <v>1986132.0254518767</v>
      </c>
      <c r="N780" s="1057">
        <f t="shared" ca="1" si="605"/>
        <v>5229762.1343635283</v>
      </c>
      <c r="O780" s="1057">
        <f t="shared" ca="1" si="605"/>
        <v>9526923.3380927984</v>
      </c>
      <c r="P780" s="1057">
        <f t="shared" ca="1" si="605"/>
        <v>15215309.927895531</v>
      </c>
      <c r="Q780" s="558">
        <f t="shared" ca="1" si="605"/>
        <v>14329994.434887145</v>
      </c>
      <c r="R780" s="321"/>
      <c r="S780" s="319" t="s">
        <v>71</v>
      </c>
    </row>
    <row r="781" spans="1:19" ht="13" customHeight="1" x14ac:dyDescent="0.35">
      <c r="A781" s="235"/>
      <c r="B781" s="517" t="s">
        <v>1091</v>
      </c>
      <c r="C781" s="518"/>
      <c r="D781" s="1127"/>
      <c r="E781" s="518" t="s">
        <v>1189</v>
      </c>
      <c r="F781" s="1060">
        <f t="shared" ref="F781:Q781" ca="1" si="606">F772+F780</f>
        <v>0</v>
      </c>
      <c r="G781" s="1060">
        <f t="shared" ca="1" si="606"/>
        <v>0</v>
      </c>
      <c r="H781" s="1060">
        <f t="shared" ca="1" si="606"/>
        <v>566933.33333333326</v>
      </c>
      <c r="I781" s="1060">
        <f t="shared" ca="1" si="606"/>
        <v>639375.56238838285</v>
      </c>
      <c r="J781" s="1060">
        <f t="shared" ca="1" si="606"/>
        <v>715709.95262499573</v>
      </c>
      <c r="K781" s="1060">
        <f t="shared" ca="1" si="606"/>
        <v>716033.476662979</v>
      </c>
      <c r="L781" s="1060">
        <f t="shared" ca="1" si="606"/>
        <v>2041877.6933471281</v>
      </c>
      <c r="M781" s="1060">
        <f t="shared" ref="M781:N781" ca="1" si="607">M772+M780</f>
        <v>4129809.1087852102</v>
      </c>
      <c r="N781" s="1060">
        <f t="shared" ca="1" si="607"/>
        <v>7151103.2801968623</v>
      </c>
      <c r="O781" s="1060">
        <f t="shared" ref="O781:P781" ca="1" si="608">O772+O780</f>
        <v>11292637.530801132</v>
      </c>
      <c r="P781" s="1060">
        <f t="shared" ca="1" si="608"/>
        <v>16805116.405760113</v>
      </c>
      <c r="Q781" s="559">
        <f t="shared" ca="1" si="606"/>
        <v>14329994.434887145</v>
      </c>
      <c r="R781" s="321"/>
      <c r="S781" s="319" t="s">
        <v>71</v>
      </c>
    </row>
    <row r="782" spans="1:19" ht="12.75" hidden="1" customHeight="1" x14ac:dyDescent="0.35">
      <c r="A782" s="560"/>
      <c r="B782" s="561" t="str">
        <f ca="1">IF(IFRSAlloc01&gt;0,$B$523&amp;" "&amp;INDEX(IFRSallocDD,IFRSAlloc01),SpecsTxt!$H$2&amp;" 1")</f>
        <v>Allocated overvalue 1</v>
      </c>
      <c r="C782" s="562"/>
      <c r="D782" s="1132"/>
      <c r="E782" s="562" t="s">
        <v>1190</v>
      </c>
      <c r="F782" s="1083"/>
      <c r="G782" s="1083">
        <f t="shared" ref="G782:Q782" ca="1" si="609">IF(GWtype=2,G$351+G$388,0)</f>
        <v>0</v>
      </c>
      <c r="H782" s="1083">
        <f t="shared" ca="1" si="609"/>
        <v>0</v>
      </c>
      <c r="I782" s="1083">
        <f t="shared" ca="1" si="609"/>
        <v>0</v>
      </c>
      <c r="J782" s="1083">
        <f t="shared" ca="1" si="609"/>
        <v>0</v>
      </c>
      <c r="K782" s="1083">
        <f t="shared" ca="1" si="609"/>
        <v>0</v>
      </c>
      <c r="L782" s="1083">
        <f t="shared" ca="1" si="609"/>
        <v>0</v>
      </c>
      <c r="M782" s="1083">
        <f t="shared" ca="1" si="609"/>
        <v>0</v>
      </c>
      <c r="N782" s="1083">
        <f t="shared" ca="1" si="609"/>
        <v>0</v>
      </c>
      <c r="O782" s="1083">
        <f t="shared" ca="1" si="609"/>
        <v>0</v>
      </c>
      <c r="P782" s="1083">
        <f t="shared" ca="1" si="609"/>
        <v>0</v>
      </c>
      <c r="Q782" s="563">
        <f t="shared" si="609"/>
        <v>0</v>
      </c>
      <c r="R782" s="564"/>
      <c r="S782" s="319" t="s">
        <v>658</v>
      </c>
    </row>
    <row r="783" spans="1:19" ht="13" hidden="1" customHeight="1" x14ac:dyDescent="0.35">
      <c r="A783" s="560"/>
      <c r="B783" s="525" t="str">
        <f ca="1">IF(IFRSAlloc02&gt;0,$B$523&amp;" "&amp;INDEX(IFRSallocDD,IFRSAlloc02),SpecsTxt!$H$2&amp;" 2")</f>
        <v>Allocated overvalue 2</v>
      </c>
      <c r="C783" s="526"/>
      <c r="D783" s="1133"/>
      <c r="E783" s="526" t="s">
        <v>1191</v>
      </c>
      <c r="F783" s="1063"/>
      <c r="G783" s="1063">
        <f t="shared" ref="G783:Q783" ca="1" si="610">IF(GWtype=2,G$354+G$391,0)</f>
        <v>0</v>
      </c>
      <c r="H783" s="1063">
        <f t="shared" ca="1" si="610"/>
        <v>0</v>
      </c>
      <c r="I783" s="1063">
        <f t="shared" ca="1" si="610"/>
        <v>0</v>
      </c>
      <c r="J783" s="1063">
        <f t="shared" ca="1" si="610"/>
        <v>0</v>
      </c>
      <c r="K783" s="1063">
        <f t="shared" ca="1" si="610"/>
        <v>0</v>
      </c>
      <c r="L783" s="1063">
        <f t="shared" ca="1" si="610"/>
        <v>0</v>
      </c>
      <c r="M783" s="1063">
        <f t="shared" ca="1" si="610"/>
        <v>0</v>
      </c>
      <c r="N783" s="1063">
        <f t="shared" ca="1" si="610"/>
        <v>0</v>
      </c>
      <c r="O783" s="1063">
        <f t="shared" ca="1" si="610"/>
        <v>0</v>
      </c>
      <c r="P783" s="1063">
        <f t="shared" ca="1" si="610"/>
        <v>0</v>
      </c>
      <c r="Q783" s="565">
        <f t="shared" si="610"/>
        <v>0</v>
      </c>
      <c r="R783" s="564"/>
      <c r="S783" s="319" t="s">
        <v>1192</v>
      </c>
    </row>
    <row r="784" spans="1:19" ht="13" hidden="1" customHeight="1" x14ac:dyDescent="0.35">
      <c r="A784" s="560"/>
      <c r="B784" s="525" t="str">
        <f ca="1">IF(IFRSAlloc03&gt;0,$B$523&amp;" "&amp;INDEX(IFRSallocDD,IFRSAlloc03),SpecsTxt!$H$2&amp;" 3")</f>
        <v>Allocated overvalue 3</v>
      </c>
      <c r="C784" s="526"/>
      <c r="D784" s="1133"/>
      <c r="E784" s="526" t="s">
        <v>1193</v>
      </c>
      <c r="F784" s="1063"/>
      <c r="G784" s="1063">
        <f t="shared" ref="G784:Q784" ca="1" si="611">IF(GWtype=2,G$357+G$394,0)</f>
        <v>0</v>
      </c>
      <c r="H784" s="1063">
        <f t="shared" ca="1" si="611"/>
        <v>0</v>
      </c>
      <c r="I784" s="1063">
        <f t="shared" ca="1" si="611"/>
        <v>0</v>
      </c>
      <c r="J784" s="1063">
        <f t="shared" ca="1" si="611"/>
        <v>0</v>
      </c>
      <c r="K784" s="1063">
        <f t="shared" ca="1" si="611"/>
        <v>0</v>
      </c>
      <c r="L784" s="1063">
        <f t="shared" ca="1" si="611"/>
        <v>0</v>
      </c>
      <c r="M784" s="1063">
        <f t="shared" ca="1" si="611"/>
        <v>0</v>
      </c>
      <c r="N784" s="1063">
        <f t="shared" ca="1" si="611"/>
        <v>0</v>
      </c>
      <c r="O784" s="1063">
        <f t="shared" ca="1" si="611"/>
        <v>0</v>
      </c>
      <c r="P784" s="1063">
        <f t="shared" ca="1" si="611"/>
        <v>0</v>
      </c>
      <c r="Q784" s="565">
        <f t="shared" si="611"/>
        <v>0</v>
      </c>
      <c r="R784" s="564"/>
      <c r="S784" s="319" t="s">
        <v>1192</v>
      </c>
    </row>
    <row r="785" spans="1:19" ht="13" hidden="1" customHeight="1" x14ac:dyDescent="0.35">
      <c r="A785" s="560"/>
      <c r="B785" s="525" t="str">
        <f ca="1">IF(IFRSAlloc04&gt;0,$B$523&amp;" "&amp;INDEX(IFRSallocDD,IFRSAlloc04),SpecsTxt!$H$2&amp;" 4")</f>
        <v>Allocated overvalue 4</v>
      </c>
      <c r="C785" s="526"/>
      <c r="D785" s="1133"/>
      <c r="E785" s="526" t="s">
        <v>1194</v>
      </c>
      <c r="F785" s="1063"/>
      <c r="G785" s="1063">
        <f t="shared" ref="G785:Q785" ca="1" si="612">IF(GWtype=2,G$360+G$397,0)</f>
        <v>0</v>
      </c>
      <c r="H785" s="1063">
        <f t="shared" ca="1" si="612"/>
        <v>0</v>
      </c>
      <c r="I785" s="1063">
        <f t="shared" ca="1" si="612"/>
        <v>0</v>
      </c>
      <c r="J785" s="1063">
        <f t="shared" ca="1" si="612"/>
        <v>0</v>
      </c>
      <c r="K785" s="1063">
        <f t="shared" ca="1" si="612"/>
        <v>0</v>
      </c>
      <c r="L785" s="1063">
        <f t="shared" ca="1" si="612"/>
        <v>0</v>
      </c>
      <c r="M785" s="1063">
        <f t="shared" ca="1" si="612"/>
        <v>0</v>
      </c>
      <c r="N785" s="1063">
        <f t="shared" ca="1" si="612"/>
        <v>0</v>
      </c>
      <c r="O785" s="1063">
        <f t="shared" ca="1" si="612"/>
        <v>0</v>
      </c>
      <c r="P785" s="1063">
        <f t="shared" ca="1" si="612"/>
        <v>0</v>
      </c>
      <c r="Q785" s="565">
        <f t="shared" si="612"/>
        <v>0</v>
      </c>
      <c r="R785" s="564"/>
      <c r="S785" s="319" t="s">
        <v>1192</v>
      </c>
    </row>
    <row r="786" spans="1:19" ht="13" hidden="1" customHeight="1" x14ac:dyDescent="0.35">
      <c r="A786" s="560"/>
      <c r="B786" s="525" t="str">
        <f ca="1">IF(IFRSAlloc05&gt;0,$B$523&amp;" "&amp;INDEX(IFRSallocDD,IFRSAlloc05),SpecsTxt!$H$2&amp;" 5")</f>
        <v>Allocated overvalue 5</v>
      </c>
      <c r="C786" s="526"/>
      <c r="D786" s="1133"/>
      <c r="E786" s="526" t="s">
        <v>1195</v>
      </c>
      <c r="F786" s="1063"/>
      <c r="G786" s="1063">
        <f t="shared" ref="G786:Q786" ca="1" si="613">IF(GWtype=2,G$363+G$400,0)</f>
        <v>0</v>
      </c>
      <c r="H786" s="1063">
        <f t="shared" ca="1" si="613"/>
        <v>0</v>
      </c>
      <c r="I786" s="1063">
        <f t="shared" ca="1" si="613"/>
        <v>0</v>
      </c>
      <c r="J786" s="1063">
        <f t="shared" ca="1" si="613"/>
        <v>0</v>
      </c>
      <c r="K786" s="1063">
        <f t="shared" ca="1" si="613"/>
        <v>0</v>
      </c>
      <c r="L786" s="1063">
        <f t="shared" ca="1" si="613"/>
        <v>0</v>
      </c>
      <c r="M786" s="1063">
        <f t="shared" ca="1" si="613"/>
        <v>0</v>
      </c>
      <c r="N786" s="1063">
        <f t="shared" ca="1" si="613"/>
        <v>0</v>
      </c>
      <c r="O786" s="1063">
        <f t="shared" ca="1" si="613"/>
        <v>0</v>
      </c>
      <c r="P786" s="1063">
        <f t="shared" ca="1" si="613"/>
        <v>0</v>
      </c>
      <c r="Q786" s="565">
        <f t="shared" si="613"/>
        <v>0</v>
      </c>
      <c r="R786" s="564"/>
      <c r="S786" s="319" t="s">
        <v>1192</v>
      </c>
    </row>
    <row r="787" spans="1:19" ht="13" hidden="1" customHeight="1" x14ac:dyDescent="0.35">
      <c r="A787" s="560"/>
      <c r="B787" s="525" t="str">
        <f ca="1">IF(IFRSAlloc06&gt;0,$B$523&amp;" "&amp;INDEX(IFRSallocDD,IFRSAlloc06),SpecsTxt!$H$2&amp;" 6")</f>
        <v>Allocated overvalue 6</v>
      </c>
      <c r="C787" s="526"/>
      <c r="D787" s="1133"/>
      <c r="E787" s="526" t="s">
        <v>1196</v>
      </c>
      <c r="F787" s="1063"/>
      <c r="G787" s="1063">
        <f t="shared" ref="G787:Q787" ca="1" si="614">IF(GWtype=2,G$366+G$403,0)</f>
        <v>0</v>
      </c>
      <c r="H787" s="1063">
        <f t="shared" ca="1" si="614"/>
        <v>0</v>
      </c>
      <c r="I787" s="1063">
        <f t="shared" ca="1" si="614"/>
        <v>0</v>
      </c>
      <c r="J787" s="1063">
        <f t="shared" ca="1" si="614"/>
        <v>0</v>
      </c>
      <c r="K787" s="1063">
        <f t="shared" ca="1" si="614"/>
        <v>0</v>
      </c>
      <c r="L787" s="1063">
        <f t="shared" ca="1" si="614"/>
        <v>0</v>
      </c>
      <c r="M787" s="1063">
        <f t="shared" ca="1" si="614"/>
        <v>0</v>
      </c>
      <c r="N787" s="1063">
        <f t="shared" ca="1" si="614"/>
        <v>0</v>
      </c>
      <c r="O787" s="1063">
        <f t="shared" ca="1" si="614"/>
        <v>0</v>
      </c>
      <c r="P787" s="1063">
        <f t="shared" ca="1" si="614"/>
        <v>0</v>
      </c>
      <c r="Q787" s="565">
        <f t="shared" si="614"/>
        <v>0</v>
      </c>
      <c r="R787" s="564"/>
      <c r="S787" s="319" t="s">
        <v>1192</v>
      </c>
    </row>
    <row r="788" spans="1:19" ht="13" hidden="1" customHeight="1" x14ac:dyDescent="0.35">
      <c r="A788" s="560"/>
      <c r="B788" s="525" t="str">
        <f ca="1">IF(IFRSAlloc07&gt;0,$B$523&amp;" "&amp;INDEX(IFRSallocDD,IFRSAlloc07),SpecsTxt!$H$2&amp;" 7")</f>
        <v>Allocated overvalue 7</v>
      </c>
      <c r="C788" s="526"/>
      <c r="D788" s="1133"/>
      <c r="E788" s="526" t="s">
        <v>1197</v>
      </c>
      <c r="F788" s="1063"/>
      <c r="G788" s="1063">
        <f t="shared" ref="G788:Q788" ca="1" si="615">IF(GWtype=2,G$369+G$406,0)</f>
        <v>0</v>
      </c>
      <c r="H788" s="1063">
        <f t="shared" ca="1" si="615"/>
        <v>0</v>
      </c>
      <c r="I788" s="1063">
        <f t="shared" ca="1" si="615"/>
        <v>0</v>
      </c>
      <c r="J788" s="1063">
        <f t="shared" ca="1" si="615"/>
        <v>0</v>
      </c>
      <c r="K788" s="1063">
        <f t="shared" ca="1" si="615"/>
        <v>0</v>
      </c>
      <c r="L788" s="1063">
        <f t="shared" ca="1" si="615"/>
        <v>0</v>
      </c>
      <c r="M788" s="1063">
        <f t="shared" ca="1" si="615"/>
        <v>0</v>
      </c>
      <c r="N788" s="1063">
        <f t="shared" ca="1" si="615"/>
        <v>0</v>
      </c>
      <c r="O788" s="1063">
        <f t="shared" ca="1" si="615"/>
        <v>0</v>
      </c>
      <c r="P788" s="1063">
        <f t="shared" ca="1" si="615"/>
        <v>0</v>
      </c>
      <c r="Q788" s="565">
        <f t="shared" si="615"/>
        <v>0</v>
      </c>
      <c r="R788" s="564"/>
      <c r="S788" s="319" t="s">
        <v>1192</v>
      </c>
    </row>
    <row r="789" spans="1:19" ht="13" hidden="1" customHeight="1" x14ac:dyDescent="0.35">
      <c r="A789" s="560"/>
      <c r="B789" s="525" t="str">
        <f ca="1">IF(IFRSAlloc08&gt;0,$B$523&amp;" "&amp;INDEX(IFRSallocDD,IFRSAlloc08),SpecsTxt!$H$2&amp;" 8")</f>
        <v>Allocated overvalue 8</v>
      </c>
      <c r="C789" s="526"/>
      <c r="D789" s="1133"/>
      <c r="E789" s="526" t="s">
        <v>1198</v>
      </c>
      <c r="F789" s="1063"/>
      <c r="G789" s="1063">
        <f t="shared" ref="G789:Q789" ca="1" si="616">IF(GWtype=2,G$372+G$409,0)</f>
        <v>0</v>
      </c>
      <c r="H789" s="1063">
        <f t="shared" ca="1" si="616"/>
        <v>0</v>
      </c>
      <c r="I789" s="1063">
        <f t="shared" ca="1" si="616"/>
        <v>0</v>
      </c>
      <c r="J789" s="1063">
        <f t="shared" ca="1" si="616"/>
        <v>0</v>
      </c>
      <c r="K789" s="1063">
        <f t="shared" ca="1" si="616"/>
        <v>0</v>
      </c>
      <c r="L789" s="1063">
        <f t="shared" ca="1" si="616"/>
        <v>0</v>
      </c>
      <c r="M789" s="1063">
        <f t="shared" ca="1" si="616"/>
        <v>0</v>
      </c>
      <c r="N789" s="1063">
        <f t="shared" ca="1" si="616"/>
        <v>0</v>
      </c>
      <c r="O789" s="1063">
        <f t="shared" ca="1" si="616"/>
        <v>0</v>
      </c>
      <c r="P789" s="1063">
        <f t="shared" ca="1" si="616"/>
        <v>0</v>
      </c>
      <c r="Q789" s="565">
        <f t="shared" si="616"/>
        <v>0</v>
      </c>
      <c r="R789" s="564"/>
      <c r="S789" s="319" t="s">
        <v>1192</v>
      </c>
    </row>
    <row r="790" spans="1:19" ht="13" hidden="1" customHeight="1" x14ac:dyDescent="0.35">
      <c r="A790" s="560"/>
      <c r="B790" s="525" t="str">
        <f ca="1">IF(IFRSAlloc09&gt;0,$B$523&amp;" "&amp;INDEX(IFRSallocDD,IFRSAlloc09),SpecsTxt!$H$2&amp;" 9")</f>
        <v>Allocated overvalue 9</v>
      </c>
      <c r="C790" s="526"/>
      <c r="D790" s="1133"/>
      <c r="E790" s="526" t="s">
        <v>1199</v>
      </c>
      <c r="F790" s="1063"/>
      <c r="G790" s="1063">
        <f t="shared" ref="G790:Q790" ca="1" si="617">IF(GWtype=2,G$375+G$412,0)</f>
        <v>0</v>
      </c>
      <c r="H790" s="1063">
        <f t="shared" ca="1" si="617"/>
        <v>0</v>
      </c>
      <c r="I790" s="1063">
        <f t="shared" ca="1" si="617"/>
        <v>0</v>
      </c>
      <c r="J790" s="1063">
        <f t="shared" ca="1" si="617"/>
        <v>0</v>
      </c>
      <c r="K790" s="1063">
        <f t="shared" ca="1" si="617"/>
        <v>0</v>
      </c>
      <c r="L790" s="1063">
        <f t="shared" ca="1" si="617"/>
        <v>0</v>
      </c>
      <c r="M790" s="1063">
        <f t="shared" ca="1" si="617"/>
        <v>0</v>
      </c>
      <c r="N790" s="1063">
        <f t="shared" ca="1" si="617"/>
        <v>0</v>
      </c>
      <c r="O790" s="1063">
        <f t="shared" ca="1" si="617"/>
        <v>0</v>
      </c>
      <c r="P790" s="1063">
        <f t="shared" ca="1" si="617"/>
        <v>0</v>
      </c>
      <c r="Q790" s="565">
        <f t="shared" si="617"/>
        <v>0</v>
      </c>
      <c r="R790" s="564"/>
      <c r="S790" s="319" t="s">
        <v>1192</v>
      </c>
    </row>
    <row r="791" spans="1:19" ht="13" hidden="1" customHeight="1" x14ac:dyDescent="0.35">
      <c r="A791" s="560"/>
      <c r="B791" s="525" t="str">
        <f ca="1">IF(IFRSAlloc10&gt;0,$B$523&amp;" "&amp;INDEX(IFRSallocDD,IFRSAlloc10),SpecsTxt!$H$2&amp;" 10")</f>
        <v>Allocated overvalue 10</v>
      </c>
      <c r="C791" s="526"/>
      <c r="D791" s="1133"/>
      <c r="E791" s="526" t="s">
        <v>1200</v>
      </c>
      <c r="F791" s="1063"/>
      <c r="G791" s="1063">
        <f t="shared" ref="G791:Q791" ca="1" si="618">IF(GWtype=2,G$378+G$415,0)</f>
        <v>0</v>
      </c>
      <c r="H791" s="1063">
        <f t="shared" ca="1" si="618"/>
        <v>0</v>
      </c>
      <c r="I791" s="1063">
        <f t="shared" ca="1" si="618"/>
        <v>0</v>
      </c>
      <c r="J791" s="1063">
        <f t="shared" ca="1" si="618"/>
        <v>0</v>
      </c>
      <c r="K791" s="1063">
        <f t="shared" ca="1" si="618"/>
        <v>0</v>
      </c>
      <c r="L791" s="1063">
        <f t="shared" ca="1" si="618"/>
        <v>0</v>
      </c>
      <c r="M791" s="1063">
        <f t="shared" ca="1" si="618"/>
        <v>0</v>
      </c>
      <c r="N791" s="1063">
        <f t="shared" ca="1" si="618"/>
        <v>0</v>
      </c>
      <c r="O791" s="1063">
        <f t="shared" ca="1" si="618"/>
        <v>0</v>
      </c>
      <c r="P791" s="1063">
        <f t="shared" ca="1" si="618"/>
        <v>0</v>
      </c>
      <c r="Q791" s="565">
        <f t="shared" si="618"/>
        <v>0</v>
      </c>
      <c r="R791" s="564"/>
      <c r="S791" s="319" t="s">
        <v>1192</v>
      </c>
    </row>
    <row r="792" spans="1:19" ht="13" hidden="1" customHeight="1" x14ac:dyDescent="0.35">
      <c r="A792" s="560"/>
      <c r="B792" s="525" t="str">
        <f ca="1">IF(IFRSAlloc11&gt;0,$B$523&amp;" "&amp;INDEX(IFRSallocDD,IFRSAlloc11),SpecsTxt!$H$2&amp;" 11")</f>
        <v>Allocated overvalue 11</v>
      </c>
      <c r="C792" s="526"/>
      <c r="D792" s="1133"/>
      <c r="E792" s="526" t="s">
        <v>1201</v>
      </c>
      <c r="F792" s="1063"/>
      <c r="G792" s="1063">
        <f t="shared" ref="G792:Q792" ca="1" si="619">IF(GWtype=2,G$381+G$418,0)</f>
        <v>0</v>
      </c>
      <c r="H792" s="1063">
        <f t="shared" ca="1" si="619"/>
        <v>0</v>
      </c>
      <c r="I792" s="1063">
        <f t="shared" ca="1" si="619"/>
        <v>0</v>
      </c>
      <c r="J792" s="1063">
        <f t="shared" ca="1" si="619"/>
        <v>0</v>
      </c>
      <c r="K792" s="1063">
        <f t="shared" ca="1" si="619"/>
        <v>0</v>
      </c>
      <c r="L792" s="1063">
        <f t="shared" ca="1" si="619"/>
        <v>0</v>
      </c>
      <c r="M792" s="1063">
        <f t="shared" ca="1" si="619"/>
        <v>0</v>
      </c>
      <c r="N792" s="1063">
        <f t="shared" ca="1" si="619"/>
        <v>0</v>
      </c>
      <c r="O792" s="1063">
        <f t="shared" ca="1" si="619"/>
        <v>0</v>
      </c>
      <c r="P792" s="1063">
        <f t="shared" ca="1" si="619"/>
        <v>0</v>
      </c>
      <c r="Q792" s="565">
        <f t="shared" si="619"/>
        <v>0</v>
      </c>
      <c r="R792" s="564"/>
      <c r="S792" s="319" t="s">
        <v>1192</v>
      </c>
    </row>
    <row r="793" spans="1:19" ht="13" hidden="1" customHeight="1" x14ac:dyDescent="0.35">
      <c r="A793" s="560"/>
      <c r="B793" s="525" t="str">
        <f ca="1">IF(IFRSAlloc12&gt;0,$B$523&amp;" "&amp;INDEX(IFRSallocDD,IFRSAlloc12),SpecsTxt!$H$2&amp;" 12")</f>
        <v>Allocated overvalue 12</v>
      </c>
      <c r="C793" s="526"/>
      <c r="D793" s="1133"/>
      <c r="E793" s="526" t="s">
        <v>1202</v>
      </c>
      <c r="F793" s="1063"/>
      <c r="G793" s="1063">
        <f t="shared" ref="G793:Q793" ca="1" si="620">IF(GWtype=2,G$384+G$421,0)</f>
        <v>0</v>
      </c>
      <c r="H793" s="1063">
        <f t="shared" ca="1" si="620"/>
        <v>0</v>
      </c>
      <c r="I793" s="1063">
        <f t="shared" ca="1" si="620"/>
        <v>0</v>
      </c>
      <c r="J793" s="1063">
        <f t="shared" ca="1" si="620"/>
        <v>0</v>
      </c>
      <c r="K793" s="1063">
        <f t="shared" ca="1" si="620"/>
        <v>0</v>
      </c>
      <c r="L793" s="1063">
        <f t="shared" ca="1" si="620"/>
        <v>0</v>
      </c>
      <c r="M793" s="1063">
        <f t="shared" ca="1" si="620"/>
        <v>0</v>
      </c>
      <c r="N793" s="1063">
        <f t="shared" ca="1" si="620"/>
        <v>0</v>
      </c>
      <c r="O793" s="1063">
        <f t="shared" ca="1" si="620"/>
        <v>0</v>
      </c>
      <c r="P793" s="1063">
        <f t="shared" ca="1" si="620"/>
        <v>0</v>
      </c>
      <c r="Q793" s="565">
        <f t="shared" si="620"/>
        <v>0</v>
      </c>
      <c r="R793" s="564"/>
      <c r="S793" s="319" t="s">
        <v>1192</v>
      </c>
    </row>
    <row r="794" spans="1:19" ht="13" hidden="1" customHeight="1" x14ac:dyDescent="0.35">
      <c r="A794" s="434"/>
      <c r="B794" s="566" t="s">
        <v>1203</v>
      </c>
      <c r="C794" s="526"/>
      <c r="D794" s="1134"/>
      <c r="E794" s="349" t="s">
        <v>1204</v>
      </c>
      <c r="F794" s="1084"/>
      <c r="G794" s="1084">
        <f t="shared" ref="G794:P794" ca="1" si="621">G$426</f>
        <v>0</v>
      </c>
      <c r="H794" s="1084">
        <f t="shared" ca="1" si="621"/>
        <v>0</v>
      </c>
      <c r="I794" s="1084">
        <f t="shared" ca="1" si="621"/>
        <v>0</v>
      </c>
      <c r="J794" s="1084">
        <f t="shared" ca="1" si="621"/>
        <v>0</v>
      </c>
      <c r="K794" s="1084">
        <f t="shared" ca="1" si="621"/>
        <v>0</v>
      </c>
      <c r="L794" s="1084">
        <f t="shared" ca="1" si="621"/>
        <v>0</v>
      </c>
      <c r="M794" s="1084">
        <f t="shared" ca="1" si="621"/>
        <v>0</v>
      </c>
      <c r="N794" s="1084">
        <f t="shared" ca="1" si="621"/>
        <v>0</v>
      </c>
      <c r="O794" s="1084">
        <f t="shared" ca="1" si="621"/>
        <v>0</v>
      </c>
      <c r="P794" s="1084">
        <f t="shared" ca="1" si="621"/>
        <v>0</v>
      </c>
      <c r="Q794" s="567">
        <f ca="1">OFFSET(Q794,0,-1)</f>
        <v>0</v>
      </c>
      <c r="R794" s="381"/>
      <c r="S794" s="319" t="s">
        <v>658</v>
      </c>
    </row>
    <row r="795" spans="1:19" ht="13" hidden="1" customHeight="1" x14ac:dyDescent="0.35">
      <c r="A795" s="235"/>
      <c r="B795" s="568" t="s">
        <v>1205</v>
      </c>
      <c r="C795" s="569"/>
      <c r="D795" s="1135"/>
      <c r="E795" s="592" t="s">
        <v>1206</v>
      </c>
      <c r="F795" s="1085"/>
      <c r="G795" s="1085">
        <f ca="1">OFFSET(G795,0,-1)+G$329+G$330+G$332+G$705+G$693+G$432+G$679+G1095</f>
        <v>0</v>
      </c>
      <c r="H795" s="1085">
        <f t="shared" ref="H795:Q795" ca="1" si="622">OFFSET(H795,0,-1)+H$329+H$330+H$332+H$705+H$693+H$432+H$679+H1095</f>
        <v>0</v>
      </c>
      <c r="I795" s="1085">
        <f t="shared" ca="1" si="622"/>
        <v>0</v>
      </c>
      <c r="J795" s="1085">
        <f t="shared" ca="1" si="622"/>
        <v>0</v>
      </c>
      <c r="K795" s="1085">
        <f t="shared" ca="1" si="622"/>
        <v>0</v>
      </c>
      <c r="L795" s="1085">
        <f t="shared" ca="1" si="622"/>
        <v>0</v>
      </c>
      <c r="M795" s="1085">
        <f t="shared" ref="M795:N795" ca="1" si="623">OFFSET(M795,0,-1)+M$329+M$330+M$332+M$705+M$693+M$432+M$679+M1095</f>
        <v>0</v>
      </c>
      <c r="N795" s="1085">
        <f t="shared" ca="1" si="623"/>
        <v>0</v>
      </c>
      <c r="O795" s="1085">
        <f t="shared" ref="O795:P795" ca="1" si="624">OFFSET(O795,0,-1)+O$329+O$330+O$332+O$705+O$693+O$432+O$679+O1095</f>
        <v>0</v>
      </c>
      <c r="P795" s="1085">
        <f t="shared" ca="1" si="624"/>
        <v>0</v>
      </c>
      <c r="Q795" s="570">
        <f t="shared" ca="1" si="622"/>
        <v>0</v>
      </c>
      <c r="R795" s="321"/>
      <c r="S795" s="319" t="s">
        <v>658</v>
      </c>
    </row>
    <row r="796" spans="1:19" ht="13" hidden="1" customHeight="1" x14ac:dyDescent="0.35">
      <c r="A796" s="235"/>
      <c r="B796" s="571" t="s">
        <v>1207</v>
      </c>
      <c r="C796" s="572"/>
      <c r="D796" s="1136"/>
      <c r="E796" s="518" t="s">
        <v>1208</v>
      </c>
      <c r="F796" s="1086"/>
      <c r="G796" s="1087">
        <f t="shared" ref="G796:Q796" ca="1" si="625">SUM(G$781:G$795)</f>
        <v>0</v>
      </c>
      <c r="H796" s="1087">
        <f t="shared" ca="1" si="625"/>
        <v>566933.33333333326</v>
      </c>
      <c r="I796" s="1087">
        <f t="shared" ca="1" si="625"/>
        <v>639375.56238838285</v>
      </c>
      <c r="J796" s="1087">
        <f t="shared" ca="1" si="625"/>
        <v>715709.95262499573</v>
      </c>
      <c r="K796" s="1087">
        <f t="shared" ca="1" si="625"/>
        <v>716033.476662979</v>
      </c>
      <c r="L796" s="1087">
        <f t="shared" ca="1" si="625"/>
        <v>2041877.6933471281</v>
      </c>
      <c r="M796" s="1087">
        <f t="shared" ca="1" si="625"/>
        <v>4129809.1087852102</v>
      </c>
      <c r="N796" s="1087">
        <f t="shared" ca="1" si="625"/>
        <v>7151103.2801968623</v>
      </c>
      <c r="O796" s="1087">
        <f t="shared" ca="1" si="625"/>
        <v>11292637.530801132</v>
      </c>
      <c r="P796" s="1087">
        <f t="shared" ca="1" si="625"/>
        <v>16805116.405760113</v>
      </c>
      <c r="Q796" s="573">
        <f t="shared" ca="1" si="625"/>
        <v>14329994.434887145</v>
      </c>
      <c r="R796" s="321"/>
      <c r="S796" s="319" t="s">
        <v>658</v>
      </c>
    </row>
    <row r="797" spans="1:19" ht="5.15" hidden="1" customHeight="1" x14ac:dyDescent="0.35">
      <c r="A797" s="235"/>
      <c r="B797" s="518"/>
      <c r="C797" s="518"/>
      <c r="D797" s="574"/>
      <c r="E797" s="575" t="s">
        <v>39</v>
      </c>
      <c r="F797" s="574"/>
      <c r="G797" s="574"/>
      <c r="H797" s="574"/>
      <c r="I797" s="574"/>
      <c r="J797" s="574"/>
      <c r="K797" s="574"/>
      <c r="L797" s="574"/>
      <c r="M797" s="574"/>
      <c r="N797" s="574"/>
      <c r="O797" s="574"/>
      <c r="P797" s="574"/>
      <c r="Q797" s="559"/>
      <c r="R797" s="321"/>
      <c r="S797" s="319" t="s">
        <v>40</v>
      </c>
    </row>
    <row r="798" spans="1:19" ht="13" customHeight="1" x14ac:dyDescent="0.35">
      <c r="A798" s="235"/>
      <c r="B798" s="523" t="s">
        <v>1209</v>
      </c>
      <c r="C798" s="503"/>
      <c r="D798" s="1117"/>
      <c r="E798" s="503" t="s">
        <v>1210</v>
      </c>
      <c r="F798" s="1054">
        <f t="shared" ref="F798:Q798" ca="1" si="626">F$828</f>
        <v>0</v>
      </c>
      <c r="G798" s="1054">
        <f t="shared" ca="1" si="626"/>
        <v>0</v>
      </c>
      <c r="H798" s="1054">
        <f t="shared" ca="1" si="626"/>
        <v>566933.33333333326</v>
      </c>
      <c r="I798" s="1054">
        <f t="shared" ca="1" si="626"/>
        <v>639375.56238838262</v>
      </c>
      <c r="J798" s="1054">
        <f t="shared" ca="1" si="626"/>
        <v>715709.95262499526</v>
      </c>
      <c r="K798" s="1054">
        <f t="shared" ca="1" si="626"/>
        <v>716033.47666297853</v>
      </c>
      <c r="L798" s="1054">
        <f t="shared" ca="1" si="626"/>
        <v>2041877.6933471276</v>
      </c>
      <c r="M798" s="1054">
        <f t="shared" ca="1" si="626"/>
        <v>4129809.1087852097</v>
      </c>
      <c r="N798" s="1054">
        <f t="shared" ca="1" si="626"/>
        <v>7151103.2801968604</v>
      </c>
      <c r="O798" s="1054">
        <f t="shared" ca="1" si="626"/>
        <v>11292637.53080113</v>
      </c>
      <c r="P798" s="1054">
        <f t="shared" ca="1" si="626"/>
        <v>16805116.405760113</v>
      </c>
      <c r="Q798" s="1051">
        <f t="shared" ca="1" si="626"/>
        <v>14329994.434887143</v>
      </c>
      <c r="R798" s="321"/>
      <c r="S798" s="319" t="s">
        <v>71</v>
      </c>
    </row>
    <row r="799" spans="1:19" ht="13" customHeight="1" x14ac:dyDescent="0.35">
      <c r="A799" s="235"/>
      <c r="B799" s="445" t="s">
        <v>1211</v>
      </c>
      <c r="C799" s="434"/>
      <c r="D799" s="1118"/>
      <c r="E799" s="434" t="s">
        <v>1212</v>
      </c>
      <c r="F799" s="1036">
        <f t="shared" ref="F799:Q799" ca="1" si="627">F$805</f>
        <v>0</v>
      </c>
      <c r="G799" s="1036">
        <f t="shared" ca="1" si="627"/>
        <v>0</v>
      </c>
      <c r="H799" s="1036">
        <f t="shared" ca="1" si="627"/>
        <v>81833.333333333328</v>
      </c>
      <c r="I799" s="1036">
        <f t="shared" ca="1" si="627"/>
        <v>146001.91508861113</v>
      </c>
      <c r="J799" s="1036">
        <f t="shared" ca="1" si="627"/>
        <v>213921.54642033752</v>
      </c>
      <c r="K799" s="1036">
        <f t="shared" ca="1" si="627"/>
        <v>205686.79321228538</v>
      </c>
      <c r="L799" s="1036">
        <f t="shared" ca="1" si="627"/>
        <v>1416703.0061200284</v>
      </c>
      <c r="M799" s="1036">
        <f t="shared" ca="1" si="627"/>
        <v>3363970.1169320135</v>
      </c>
      <c r="N799" s="1036">
        <f t="shared" ca="1" si="627"/>
        <v>6212950.5151766948</v>
      </c>
      <c r="O799" s="1036">
        <f t="shared" ca="1" si="627"/>
        <v>10143400.393651428</v>
      </c>
      <c r="P799" s="1036">
        <f t="shared" ca="1" si="627"/>
        <v>15397300.912751727</v>
      </c>
      <c r="Q799" s="1015">
        <f t="shared" ca="1" si="627"/>
        <v>14329994.434887143</v>
      </c>
      <c r="R799" s="321"/>
      <c r="S799" s="319" t="s">
        <v>71</v>
      </c>
    </row>
    <row r="800" spans="1:19" ht="13" customHeight="1" x14ac:dyDescent="0.35">
      <c r="A800" s="235"/>
      <c r="B800" s="445"/>
      <c r="C800" s="434" t="s">
        <v>677</v>
      </c>
      <c r="D800" s="1119"/>
      <c r="E800" s="434" t="s">
        <v>1213</v>
      </c>
      <c r="F800" s="1025"/>
      <c r="G800" s="1026">
        <f ca="1">OFFSET(G800,0,-1)+OFFSET($E$702,0,G$8)+G$1114</f>
        <v>0</v>
      </c>
      <c r="H800" s="1026">
        <f t="shared" ref="H800:Q800" ca="1" si="628">OFFSET(H800,0,-1)+OFFSET($E$702,0,H$8)+H$1114</f>
        <v>0</v>
      </c>
      <c r="I800" s="1026">
        <f t="shared" ca="1" si="628"/>
        <v>0</v>
      </c>
      <c r="J800" s="1026">
        <f t="shared" ca="1" si="628"/>
        <v>0</v>
      </c>
      <c r="K800" s="1026">
        <f t="shared" ca="1" si="628"/>
        <v>0</v>
      </c>
      <c r="L800" s="1026">
        <f t="shared" ca="1" si="628"/>
        <v>0</v>
      </c>
      <c r="M800" s="1026">
        <f t="shared" ca="1" si="628"/>
        <v>0</v>
      </c>
      <c r="N800" s="1026">
        <f t="shared" ca="1" si="628"/>
        <v>0</v>
      </c>
      <c r="O800" s="1026">
        <f t="shared" ca="1" si="628"/>
        <v>0</v>
      </c>
      <c r="P800" s="1026">
        <f t="shared" ca="1" si="628"/>
        <v>0</v>
      </c>
      <c r="Q800" s="512">
        <f t="shared" ca="1" si="628"/>
        <v>0</v>
      </c>
      <c r="R800" s="321"/>
      <c r="S800" s="319" t="s">
        <v>148</v>
      </c>
    </row>
    <row r="801" spans="1:19" ht="13" customHeight="1" x14ac:dyDescent="0.35">
      <c r="A801" s="235"/>
      <c r="B801" s="445"/>
      <c r="C801" s="434" t="s">
        <v>680</v>
      </c>
      <c r="D801" s="1119"/>
      <c r="E801" s="434" t="s">
        <v>1214</v>
      </c>
      <c r="F801" s="1025"/>
      <c r="G801" s="1026">
        <f ca="1">OFFSET(G801,0,-1)+OFFSET($E$703,0,G$8)+G$1115</f>
        <v>0</v>
      </c>
      <c r="H801" s="1026">
        <f t="shared" ref="H801:P801" ca="1" si="629">OFFSET(H801,0,-1)+OFFSET($E$703,0,H$8)+H$1115</f>
        <v>0</v>
      </c>
      <c r="I801" s="1026">
        <f t="shared" ca="1" si="629"/>
        <v>0</v>
      </c>
      <c r="J801" s="1026">
        <f t="shared" ca="1" si="629"/>
        <v>0</v>
      </c>
      <c r="K801" s="1026">
        <f t="shared" ca="1" si="629"/>
        <v>0</v>
      </c>
      <c r="L801" s="1026">
        <f t="shared" ca="1" si="629"/>
        <v>0</v>
      </c>
      <c r="M801" s="1026">
        <f t="shared" ca="1" si="629"/>
        <v>0</v>
      </c>
      <c r="N801" s="1026">
        <f t="shared" ca="1" si="629"/>
        <v>0</v>
      </c>
      <c r="O801" s="1026">
        <f t="shared" ca="1" si="629"/>
        <v>0</v>
      </c>
      <c r="P801" s="1026">
        <f t="shared" ca="1" si="629"/>
        <v>0</v>
      </c>
      <c r="Q801" s="512">
        <f ca="1">OFFSET(Q801,0,-1)+OFFSET($E$703,0,Q$8)+Q$1115</f>
        <v>0</v>
      </c>
      <c r="R801" s="321"/>
      <c r="S801" s="319" t="s">
        <v>148</v>
      </c>
    </row>
    <row r="802" spans="1:19" ht="13" customHeight="1" x14ac:dyDescent="0.35">
      <c r="A802" s="235"/>
      <c r="B802" s="445"/>
      <c r="C802" s="434" t="s">
        <v>682</v>
      </c>
      <c r="D802" s="1119"/>
      <c r="E802" s="434" t="s">
        <v>1215</v>
      </c>
      <c r="F802" s="1025"/>
      <c r="G802" s="1026">
        <f ca="1">OFFSET(G802,0,-1)+OFFSET($E$704,0,G$8)+G$1116+IF(InvFileType=2,IF(G$1133&gt;0,G$1133,0),0)</f>
        <v>0</v>
      </c>
      <c r="H802" s="1026">
        <f t="shared" ref="H802:P802" ca="1" si="630">OFFSET(H802,0,-1)+OFFSET($E$704,0,H$8)+H$1116+IF(InvFileType=2,IF(H$1133&gt;0,H$1133,0),0)</f>
        <v>0</v>
      </c>
      <c r="I802" s="1026">
        <f t="shared" ca="1" si="630"/>
        <v>0</v>
      </c>
      <c r="J802" s="1026">
        <f t="shared" ca="1" si="630"/>
        <v>0</v>
      </c>
      <c r="K802" s="1026">
        <f t="shared" ca="1" si="630"/>
        <v>0</v>
      </c>
      <c r="L802" s="1026">
        <f t="shared" ca="1" si="630"/>
        <v>0</v>
      </c>
      <c r="M802" s="1026">
        <f t="shared" ca="1" si="630"/>
        <v>0</v>
      </c>
      <c r="N802" s="1026">
        <f t="shared" ca="1" si="630"/>
        <v>0</v>
      </c>
      <c r="O802" s="1026">
        <f t="shared" ca="1" si="630"/>
        <v>0</v>
      </c>
      <c r="P802" s="1026">
        <f t="shared" ca="1" si="630"/>
        <v>0</v>
      </c>
      <c r="Q802" s="512">
        <f ca="1">OFFSET(Q802,0,-1)+OFFSET($E$704,0,Q$8)+Q$1116</f>
        <v>0</v>
      </c>
      <c r="R802" s="321"/>
      <c r="S802" s="319" t="s">
        <v>148</v>
      </c>
    </row>
    <row r="803" spans="1:19" ht="13" customHeight="1" x14ac:dyDescent="0.35">
      <c r="A803" s="235"/>
      <c r="B803" s="445"/>
      <c r="C803" s="434" t="s">
        <v>684</v>
      </c>
      <c r="D803" s="1119"/>
      <c r="E803" s="434" t="s">
        <v>1216</v>
      </c>
      <c r="F803" s="1025"/>
      <c r="G803" s="1026">
        <f ca="1">IF(RIGHT(OFFSET(G$6,0,-1),6)=RIGHT(G$6,6),0,OFFSET(G804,0,-1))+OFFSET(G803,0,-1)+OFFSET($E$706,0,G$8)+G$1117-G$1174+IF(InvFileType=2,G$830,0)</f>
        <v>0</v>
      </c>
      <c r="H803" s="1026">
        <f t="shared" ref="H803:P803" ca="1" si="631">IF(OR(OFFSET(H$1,0,-1)=FinMonth,OFFSET(H$16,0,-1)=LastPeriod),OFFSET(H804,0,-1),0)+OFFSET($E$706,0,H$8)+OFFSET(H803,0,-1)+H$1117-H$1174-IF(InvFileType=2,OFFSET(H$931,0,-1),0)+IF(InvFileType=2,OFFSET(H$931,0,-2)+IF(AND(H$1=FinMonth,H$5&lt;&gt;1),OFFSET(H$830,0,-1)-OFFSET(H$830,0,-2),0),0)</f>
        <v>0</v>
      </c>
      <c r="I803" s="1026">
        <f t="shared" ca="1" si="631"/>
        <v>0</v>
      </c>
      <c r="J803" s="1026">
        <f t="shared" ca="1" si="631"/>
        <v>0</v>
      </c>
      <c r="K803" s="1026">
        <f t="shared" ca="1" si="631"/>
        <v>0</v>
      </c>
      <c r="L803" s="1026">
        <f t="shared" ca="1" si="631"/>
        <v>205686.79321228538</v>
      </c>
      <c r="M803" s="1026">
        <f t="shared" ca="1" si="631"/>
        <v>1416703.0061200284</v>
      </c>
      <c r="N803" s="1026">
        <f t="shared" ca="1" si="631"/>
        <v>3363970.1169320135</v>
      </c>
      <c r="O803" s="1026">
        <f t="shared" ca="1" si="631"/>
        <v>6212950.5151766948</v>
      </c>
      <c r="P803" s="1026">
        <f t="shared" ca="1" si="631"/>
        <v>10143400.393651428</v>
      </c>
      <c r="Q803" s="512">
        <f ca="1">OFFSET(Q803,0,-1)+OFFSET($E$706,0,Q$8)+Q$1117</f>
        <v>10143400.393651428</v>
      </c>
      <c r="R803" s="321"/>
      <c r="S803" s="319" t="s">
        <v>148</v>
      </c>
    </row>
    <row r="804" spans="1:19" ht="13" customHeight="1" x14ac:dyDescent="0.35">
      <c r="A804" s="235"/>
      <c r="B804" s="445"/>
      <c r="C804" s="434" t="s">
        <v>686</v>
      </c>
      <c r="D804" s="1120"/>
      <c r="E804" s="506" t="s">
        <v>1217</v>
      </c>
      <c r="F804" s="1058">
        <f ca="1">F512</f>
        <v>0</v>
      </c>
      <c r="G804" s="1058">
        <f>IF(OR(AND(G$5=0,NoZeroCol=1),AND(G$5=-99,NoResCol=1)),0,G512+G1118)</f>
        <v>0</v>
      </c>
      <c r="H804" s="1058">
        <f t="shared" ref="H804:Q804" ca="1" si="632">IF(OR(AND(H$5=0,NoZeroCol=1),AND(H$5=-99,NoResCol=1)),0,H512+H1118)</f>
        <v>81833.333333333328</v>
      </c>
      <c r="I804" s="1058">
        <f t="shared" ca="1" si="632"/>
        <v>146001.91508861113</v>
      </c>
      <c r="J804" s="1058">
        <f t="shared" ca="1" si="632"/>
        <v>213921.54642033752</v>
      </c>
      <c r="K804" s="1058">
        <f t="shared" ca="1" si="632"/>
        <v>205686.79321228538</v>
      </c>
      <c r="L804" s="1058">
        <f t="shared" ca="1" si="632"/>
        <v>1211016.2129077429</v>
      </c>
      <c r="M804" s="1058">
        <f t="shared" ref="M804:N804" ca="1" si="633">IF(OR(AND(M$5=0,NoZeroCol=1),AND(M$5=-99,NoResCol=1)),0,M512+M1118)</f>
        <v>1947267.1108119851</v>
      </c>
      <c r="N804" s="1058">
        <f t="shared" ca="1" si="633"/>
        <v>2848980.3982446818</v>
      </c>
      <c r="O804" s="1058">
        <f t="shared" ref="O804:P804" ca="1" si="634">IF(OR(AND(O$5=0,NoZeroCol=1),AND(O$5=-99,NoResCol=1)),0,O512+O1118)</f>
        <v>3930449.8784747329</v>
      </c>
      <c r="P804" s="1058">
        <f t="shared" ca="1" si="634"/>
        <v>5253900.5191002991</v>
      </c>
      <c r="Q804" s="1052">
        <f t="shared" ca="1" si="632"/>
        <v>4186594.0412357156</v>
      </c>
      <c r="R804" s="321"/>
      <c r="S804" s="319" t="s">
        <v>148</v>
      </c>
    </row>
    <row r="805" spans="1:19" ht="13" customHeight="1" x14ac:dyDescent="0.35">
      <c r="A805" s="235"/>
      <c r="B805" s="445"/>
      <c r="C805" s="503" t="s">
        <v>1218</v>
      </c>
      <c r="D805" s="1121"/>
      <c r="E805" s="503" t="s">
        <v>1219</v>
      </c>
      <c r="F805" s="1055">
        <f t="shared" ref="F805:Q805" ca="1" si="635">OFFSET($E$800,0,F$8)+OFFSET($E$801,0,F$8)+OFFSET($E$802,0,F$8)+OFFSET($E$803,0,F$8)+F804</f>
        <v>0</v>
      </c>
      <c r="G805" s="1055">
        <f t="shared" ca="1" si="635"/>
        <v>0</v>
      </c>
      <c r="H805" s="1055">
        <f t="shared" ca="1" si="635"/>
        <v>81833.333333333328</v>
      </c>
      <c r="I805" s="1055">
        <f t="shared" ca="1" si="635"/>
        <v>146001.91508861113</v>
      </c>
      <c r="J805" s="1055">
        <f t="shared" ca="1" si="635"/>
        <v>213921.54642033752</v>
      </c>
      <c r="K805" s="1055">
        <f t="shared" ca="1" si="635"/>
        <v>205686.79321228538</v>
      </c>
      <c r="L805" s="1055">
        <f t="shared" ca="1" si="635"/>
        <v>1416703.0061200284</v>
      </c>
      <c r="M805" s="1055">
        <f t="shared" ref="M805:N805" ca="1" si="636">OFFSET($E$800,0,M$8)+OFFSET($E$801,0,M$8)+OFFSET($E$802,0,M$8)+OFFSET($E$803,0,M$8)+M804</f>
        <v>3363970.1169320135</v>
      </c>
      <c r="N805" s="1055">
        <f t="shared" ca="1" si="636"/>
        <v>6212950.5151766948</v>
      </c>
      <c r="O805" s="1055">
        <f t="shared" ref="O805:P805" ca="1" si="637">OFFSET($E$800,0,O$8)+OFFSET($E$801,0,O$8)+OFFSET($E$802,0,O$8)+OFFSET($E$803,0,O$8)+O804</f>
        <v>10143400.393651428</v>
      </c>
      <c r="P805" s="1055">
        <f t="shared" ca="1" si="637"/>
        <v>15397300.912751727</v>
      </c>
      <c r="Q805" s="556">
        <f t="shared" ca="1" si="635"/>
        <v>14329994.434887143</v>
      </c>
      <c r="R805" s="321"/>
      <c r="S805" s="319" t="s">
        <v>71</v>
      </c>
    </row>
    <row r="806" spans="1:19" ht="13" customHeight="1" x14ac:dyDescent="0.35">
      <c r="A806" s="235"/>
      <c r="B806" s="445" t="s">
        <v>1220</v>
      </c>
      <c r="C806" s="434"/>
      <c r="D806" s="1119"/>
      <c r="E806" s="434" t="s">
        <v>1221</v>
      </c>
      <c r="F806" s="1025"/>
      <c r="G806" s="1026">
        <f ca="1">OFFSET(G806,0,-1)-IF(OR(AND(G$5=0,NoZeroCol=1),AND(G$5=-99,NoResCol=1)),0,OFFSET($E$505,0,G$8))+G$1119</f>
        <v>0</v>
      </c>
      <c r="H806" s="1026">
        <f t="shared" ref="H806:Q806" ca="1" si="638">OFFSET(H806,0,-1)-IF(OR(AND(H$5=0,NoZeroCol=1),AND(H$5=-99,NoResCol=1)),0,OFFSET($E$505,0,H$8))+H$1119</f>
        <v>0</v>
      </c>
      <c r="I806" s="1026">
        <f t="shared" ca="1" si="638"/>
        <v>0</v>
      </c>
      <c r="J806" s="1026">
        <f t="shared" ca="1" si="638"/>
        <v>0</v>
      </c>
      <c r="K806" s="1026">
        <f t="shared" ca="1" si="638"/>
        <v>0</v>
      </c>
      <c r="L806" s="1026">
        <f t="shared" ca="1" si="638"/>
        <v>0</v>
      </c>
      <c r="M806" s="1026">
        <f t="shared" ca="1" si="638"/>
        <v>0</v>
      </c>
      <c r="N806" s="1026">
        <f t="shared" ca="1" si="638"/>
        <v>0</v>
      </c>
      <c r="O806" s="1026">
        <f t="shared" ca="1" si="638"/>
        <v>0</v>
      </c>
      <c r="P806" s="1026">
        <f t="shared" ca="1" si="638"/>
        <v>0</v>
      </c>
      <c r="Q806" s="512">
        <f t="shared" ca="1" si="638"/>
        <v>0</v>
      </c>
      <c r="R806" s="321"/>
      <c r="S806" s="319" t="s">
        <v>71</v>
      </c>
    </row>
    <row r="807" spans="1:19" ht="13" customHeight="1" x14ac:dyDescent="0.35">
      <c r="A807" s="235"/>
      <c r="B807" s="445" t="s">
        <v>1222</v>
      </c>
      <c r="C807" s="434"/>
      <c r="D807" s="1119"/>
      <c r="E807" s="434" t="s">
        <v>1223</v>
      </c>
      <c r="F807" s="1025"/>
      <c r="G807" s="1026">
        <f ca="1">OFFSET(G807,0,-1)-IF(OR(AND(G$5=0,NoZeroCol=1),AND(G$5=-99,NoResCol=1)),0,OFFSET($E$486,0,G$8))+G$1120</f>
        <v>0</v>
      </c>
      <c r="H807" s="1026">
        <f t="shared" ref="H807:Q807" ca="1" si="639">OFFSET(H807,0,-1)-IF(OR(AND(H$5=0,NoZeroCol=1),AND(H$5=-99,NoResCol=1)),0,OFFSET($E$486,0,H$8))+H$1120</f>
        <v>0</v>
      </c>
      <c r="I807" s="1026">
        <f t="shared" ca="1" si="639"/>
        <v>0</v>
      </c>
      <c r="J807" s="1026">
        <f t="shared" ca="1" si="639"/>
        <v>0</v>
      </c>
      <c r="K807" s="1026">
        <f t="shared" ca="1" si="639"/>
        <v>0</v>
      </c>
      <c r="L807" s="1026">
        <f t="shared" ca="1" si="639"/>
        <v>0</v>
      </c>
      <c r="M807" s="1026">
        <f t="shared" ca="1" si="639"/>
        <v>0</v>
      </c>
      <c r="N807" s="1026">
        <f t="shared" ca="1" si="639"/>
        <v>0</v>
      </c>
      <c r="O807" s="1026">
        <f t="shared" ca="1" si="639"/>
        <v>0</v>
      </c>
      <c r="P807" s="1026">
        <f t="shared" ca="1" si="639"/>
        <v>0</v>
      </c>
      <c r="Q807" s="512">
        <f t="shared" ca="1" si="639"/>
        <v>0</v>
      </c>
      <c r="R807" s="321"/>
      <c r="S807" s="319" t="s">
        <v>71</v>
      </c>
    </row>
    <row r="808" spans="1:19" ht="13" customHeight="1" x14ac:dyDescent="0.35">
      <c r="A808" s="235"/>
      <c r="B808" s="445" t="s">
        <v>885</v>
      </c>
      <c r="C808" s="434"/>
      <c r="D808" s="1119"/>
      <c r="E808" s="434" t="s">
        <v>1224</v>
      </c>
      <c r="F808" s="1025"/>
      <c r="G808" s="1026">
        <f ca="1">OFFSET(G808,0,-1)-IF(OR(AND(G$5=0,NoZeroCol=1),AND(G$5=-99,NoResCol=1)),0,OFFSET($E$510,0,G$8))+G$1121</f>
        <v>0</v>
      </c>
      <c r="H808" s="1026">
        <f t="shared" ref="H808:Q808" ca="1" si="640">OFFSET(H808,0,-1)-IF(OR(AND(H$5=0,NoZeroCol=1),AND(H$5=-99,NoResCol=1)),0,OFFSET($E$510,0,H$8))+H$1121</f>
        <v>0</v>
      </c>
      <c r="I808" s="1026">
        <f t="shared" ca="1" si="640"/>
        <v>0</v>
      </c>
      <c r="J808" s="1026">
        <f t="shared" ca="1" si="640"/>
        <v>0</v>
      </c>
      <c r="K808" s="1026">
        <f t="shared" ca="1" si="640"/>
        <v>0</v>
      </c>
      <c r="L808" s="1026">
        <f t="shared" ca="1" si="640"/>
        <v>0</v>
      </c>
      <c r="M808" s="1026">
        <f t="shared" ca="1" si="640"/>
        <v>0</v>
      </c>
      <c r="N808" s="1026">
        <f t="shared" ca="1" si="640"/>
        <v>0</v>
      </c>
      <c r="O808" s="1026">
        <f t="shared" ca="1" si="640"/>
        <v>0</v>
      </c>
      <c r="P808" s="1026">
        <f t="shared" ca="1" si="640"/>
        <v>0</v>
      </c>
      <c r="Q808" s="512">
        <f t="shared" ca="1" si="640"/>
        <v>0</v>
      </c>
      <c r="R808" s="321"/>
      <c r="S808" s="319" t="s">
        <v>71</v>
      </c>
    </row>
    <row r="809" spans="1:19" ht="13" customHeight="1" x14ac:dyDescent="0.35">
      <c r="A809" s="235"/>
      <c r="B809" s="445" t="s">
        <v>1225</v>
      </c>
      <c r="C809" s="434"/>
      <c r="D809" s="1118"/>
      <c r="E809" s="434" t="s">
        <v>1226</v>
      </c>
      <c r="F809" s="1036">
        <f t="shared" ref="F809:Q809" ca="1" si="641">F827</f>
        <v>0</v>
      </c>
      <c r="G809" s="1036">
        <f t="shared" ca="1" si="641"/>
        <v>0</v>
      </c>
      <c r="H809" s="1036">
        <f t="shared" ca="1" si="641"/>
        <v>485099.99999999994</v>
      </c>
      <c r="I809" s="1036">
        <f t="shared" ca="1" si="641"/>
        <v>493373.64729977155</v>
      </c>
      <c r="J809" s="1036">
        <f t="shared" ca="1" si="641"/>
        <v>501788.40620465769</v>
      </c>
      <c r="K809" s="1036">
        <f t="shared" ca="1" si="641"/>
        <v>510346.68345069321</v>
      </c>
      <c r="L809" s="1036">
        <f t="shared" ca="1" si="641"/>
        <v>625174.6872270992</v>
      </c>
      <c r="M809" s="1036">
        <f t="shared" ref="M809:N809" ca="1" si="642">M827</f>
        <v>765838.99185319629</v>
      </c>
      <c r="N809" s="1036">
        <f t="shared" ca="1" si="642"/>
        <v>938152.76502016559</v>
      </c>
      <c r="O809" s="1036">
        <f t="shared" ref="O809:P809" ca="1" si="643">O827</f>
        <v>1149237.1371497028</v>
      </c>
      <c r="P809" s="1036">
        <f t="shared" ca="1" si="643"/>
        <v>1407815.4930083861</v>
      </c>
      <c r="Q809" s="1015">
        <f t="shared" ca="1" si="641"/>
        <v>0</v>
      </c>
      <c r="R809" s="321"/>
      <c r="S809" s="319" t="s">
        <v>71</v>
      </c>
    </row>
    <row r="810" spans="1:19" ht="13" customHeight="1" x14ac:dyDescent="0.35">
      <c r="A810" s="235"/>
      <c r="B810" s="445"/>
      <c r="C810" s="434" t="s">
        <v>1227</v>
      </c>
      <c r="D810" s="1119"/>
      <c r="E810" s="434" t="s">
        <v>1228</v>
      </c>
      <c r="F810" s="1026">
        <f ca="1">OFFSET($E$811,0,F$8)+OFFSET($E$812,0,F$8)+OFFSET($E$813,0,F$8)+OFFSET($E$814,0,F$8)+OFFSET($E$815,0,F$8)</f>
        <v>0</v>
      </c>
      <c r="G810" s="1026">
        <f ca="1">G811+G812+G813+G814+G815</f>
        <v>0</v>
      </c>
      <c r="H810" s="1026">
        <f t="shared" ref="H810:Q810" ca="1" si="644">H811+H812+H813+H814+H815</f>
        <v>0</v>
      </c>
      <c r="I810" s="1026">
        <f t="shared" ca="1" si="644"/>
        <v>0</v>
      </c>
      <c r="J810" s="1026">
        <f t="shared" ca="1" si="644"/>
        <v>0</v>
      </c>
      <c r="K810" s="1026">
        <f t="shared" ca="1" si="644"/>
        <v>0</v>
      </c>
      <c r="L810" s="1026">
        <f t="shared" ca="1" si="644"/>
        <v>0</v>
      </c>
      <c r="M810" s="1026">
        <f t="shared" ref="M810:N810" ca="1" si="645">M811+M812+M813+M814+M815</f>
        <v>0</v>
      </c>
      <c r="N810" s="1026">
        <f t="shared" ca="1" si="645"/>
        <v>0</v>
      </c>
      <c r="O810" s="1026">
        <f t="shared" ref="O810:P810" ca="1" si="646">O811+O812+O813+O814+O815</f>
        <v>0</v>
      </c>
      <c r="P810" s="1026">
        <f t="shared" ca="1" si="646"/>
        <v>0</v>
      </c>
      <c r="Q810" s="1256">
        <f t="shared" ca="1" si="644"/>
        <v>0</v>
      </c>
      <c r="R810" s="321"/>
      <c r="S810" s="319" t="s">
        <v>148</v>
      </c>
    </row>
    <row r="811" spans="1:19" ht="13" hidden="1" customHeight="1" x14ac:dyDescent="0.35">
      <c r="A811" s="235"/>
      <c r="B811" s="445"/>
      <c r="C811" s="534" t="s">
        <v>1229</v>
      </c>
      <c r="D811" s="1122"/>
      <c r="E811" s="503" t="s">
        <v>1230</v>
      </c>
      <c r="F811" s="1056"/>
      <c r="G811" s="1055">
        <f t="shared" ref="G811:Q811" ca="1" si="647">OFFSET(G811,0,-1)+OFFSET(G$819,0,-1)-G$819+G$690-IF(AND(InvFileType=2,InvOrAcq=1),0,G$693)</f>
        <v>0</v>
      </c>
      <c r="H811" s="1055">
        <f t="shared" ca="1" si="647"/>
        <v>0</v>
      </c>
      <c r="I811" s="1055">
        <f t="shared" ca="1" si="647"/>
        <v>0</v>
      </c>
      <c r="J811" s="1055">
        <f t="shared" ca="1" si="647"/>
        <v>0</v>
      </c>
      <c r="K811" s="1055">
        <f t="shared" ca="1" si="647"/>
        <v>0</v>
      </c>
      <c r="L811" s="1055">
        <f t="shared" ca="1" si="647"/>
        <v>0</v>
      </c>
      <c r="M811" s="1055">
        <f t="shared" ca="1" si="647"/>
        <v>0</v>
      </c>
      <c r="N811" s="1055">
        <f t="shared" ca="1" si="647"/>
        <v>0</v>
      </c>
      <c r="O811" s="1055">
        <f t="shared" ca="1" si="647"/>
        <v>0</v>
      </c>
      <c r="P811" s="1055">
        <f t="shared" ca="1" si="647"/>
        <v>0</v>
      </c>
      <c r="Q811" s="1276">
        <f t="shared" ca="1" si="647"/>
        <v>0</v>
      </c>
      <c r="R811" s="321"/>
      <c r="S811" s="319" t="s">
        <v>82</v>
      </c>
    </row>
    <row r="812" spans="1:19" ht="13" hidden="1" customHeight="1" x14ac:dyDescent="0.35">
      <c r="A812" s="235"/>
      <c r="B812" s="445"/>
      <c r="C812" s="539" t="s">
        <v>5659</v>
      </c>
      <c r="D812" s="1119"/>
      <c r="E812" s="1255" t="s">
        <v>5660</v>
      </c>
      <c r="F812" s="1025"/>
      <c r="G812" s="1026">
        <f t="shared" ref="G812:Q812" ca="1" si="648">OFFSET(G812,0,-1)+OFFSET($E$694,0,G$8)+G$1238</f>
        <v>0</v>
      </c>
      <c r="H812" s="1026">
        <f t="shared" ca="1" si="648"/>
        <v>0</v>
      </c>
      <c r="I812" s="1026">
        <f t="shared" ca="1" si="648"/>
        <v>0</v>
      </c>
      <c r="J812" s="1026">
        <f t="shared" ca="1" si="648"/>
        <v>0</v>
      </c>
      <c r="K812" s="1026">
        <f t="shared" ca="1" si="648"/>
        <v>0</v>
      </c>
      <c r="L812" s="1026">
        <f t="shared" ca="1" si="648"/>
        <v>0</v>
      </c>
      <c r="M812" s="1026">
        <f t="shared" ca="1" si="648"/>
        <v>0</v>
      </c>
      <c r="N812" s="1026">
        <f t="shared" ca="1" si="648"/>
        <v>0</v>
      </c>
      <c r="O812" s="1026">
        <f t="shared" ca="1" si="648"/>
        <v>0</v>
      </c>
      <c r="P812" s="1026">
        <f t="shared" ca="1" si="648"/>
        <v>0</v>
      </c>
      <c r="Q812" s="512">
        <f t="shared" ca="1" si="648"/>
        <v>0</v>
      </c>
      <c r="R812" s="321"/>
      <c r="S812" s="319" t="s">
        <v>229</v>
      </c>
    </row>
    <row r="813" spans="1:19" ht="13" hidden="1" customHeight="1" x14ac:dyDescent="0.35">
      <c r="A813" s="434"/>
      <c r="B813" s="445"/>
      <c r="C813" s="539" t="s">
        <v>1231</v>
      </c>
      <c r="D813" s="1119"/>
      <c r="E813" s="434" t="s">
        <v>1232</v>
      </c>
      <c r="F813" s="1025"/>
      <c r="G813" s="1026">
        <f ca="1">OFFSET(G813,0,-1)+IF(OR(AND(G$5=0,NoZeroCol=1),AND(G$5=-99,NoResCol=1)),0,OFFSET($E$695,0,G$8)+G$1123+G$1171+G$1172)</f>
        <v>0</v>
      </c>
      <c r="H813" s="1026">
        <f t="shared" ref="H813:Q813" ca="1" si="649">OFFSET(H813,0,-1)+IF(OR(AND(H$5=0,NoZeroCol=1),AND(H$5=-99,NoResCol=1)),0,OFFSET($E$695,0,H$8)+H$1123+H$1171+H$1172)</f>
        <v>0</v>
      </c>
      <c r="I813" s="1026">
        <f t="shared" ca="1" si="649"/>
        <v>0</v>
      </c>
      <c r="J813" s="1026">
        <f t="shared" ca="1" si="649"/>
        <v>0</v>
      </c>
      <c r="K813" s="1026">
        <f t="shared" ca="1" si="649"/>
        <v>0</v>
      </c>
      <c r="L813" s="1026">
        <f t="shared" ca="1" si="649"/>
        <v>0</v>
      </c>
      <c r="M813" s="1026">
        <f t="shared" ca="1" si="649"/>
        <v>0</v>
      </c>
      <c r="N813" s="1026">
        <f t="shared" ca="1" si="649"/>
        <v>0</v>
      </c>
      <c r="O813" s="1026">
        <f t="shared" ca="1" si="649"/>
        <v>0</v>
      </c>
      <c r="P813" s="1026">
        <f t="shared" ca="1" si="649"/>
        <v>0</v>
      </c>
      <c r="Q813" s="512">
        <f t="shared" ca="1" si="649"/>
        <v>0</v>
      </c>
      <c r="R813" s="381"/>
      <c r="S813" s="319" t="s">
        <v>82</v>
      </c>
    </row>
    <row r="814" spans="1:19" ht="13" hidden="1" customHeight="1" x14ac:dyDescent="0.35">
      <c r="A814" s="235"/>
      <c r="B814" s="445"/>
      <c r="C814" s="537" t="s">
        <v>1233</v>
      </c>
      <c r="D814" s="1120"/>
      <c r="E814" s="506" t="s">
        <v>1234</v>
      </c>
      <c r="F814" s="1030"/>
      <c r="G814" s="1058">
        <f ca="1">OFFSET(G814,0,-1)+IF(OR(AND(G$5=0,NoZeroCol=1),AND(G$5=-99,NoResCol=1)),0,-OFFSET($E$509,0,G$8)+G$1124)</f>
        <v>0</v>
      </c>
      <c r="H814" s="1058">
        <f t="shared" ref="H814:Q814" ca="1" si="650">OFFSET(H814,0,-1)+IF(OR(AND(H$5=0,NoZeroCol=1),AND(H$5=-99,NoResCol=1)),0,-OFFSET($E$509,0,H$8)+H$1124)</f>
        <v>0</v>
      </c>
      <c r="I814" s="1058">
        <f t="shared" ca="1" si="650"/>
        <v>0</v>
      </c>
      <c r="J814" s="1058">
        <f t="shared" ca="1" si="650"/>
        <v>0</v>
      </c>
      <c r="K814" s="1058">
        <f t="shared" ca="1" si="650"/>
        <v>0</v>
      </c>
      <c r="L814" s="1058">
        <f t="shared" ca="1" si="650"/>
        <v>0</v>
      </c>
      <c r="M814" s="1058">
        <f t="shared" ca="1" si="650"/>
        <v>0</v>
      </c>
      <c r="N814" s="1058">
        <f t="shared" ca="1" si="650"/>
        <v>0</v>
      </c>
      <c r="O814" s="1058">
        <f t="shared" ca="1" si="650"/>
        <v>0</v>
      </c>
      <c r="P814" s="1058">
        <f t="shared" ca="1" si="650"/>
        <v>0</v>
      </c>
      <c r="Q814" s="1052">
        <f t="shared" ca="1" si="650"/>
        <v>0</v>
      </c>
      <c r="R814" s="321"/>
      <c r="S814" s="319" t="s">
        <v>82</v>
      </c>
    </row>
    <row r="815" spans="1:19" ht="13" hidden="1" customHeight="1" x14ac:dyDescent="0.35">
      <c r="A815" s="235"/>
      <c r="B815" s="445"/>
      <c r="C815" s="537" t="s">
        <v>57</v>
      </c>
      <c r="D815" s="1120"/>
      <c r="E815" s="506" t="s">
        <v>1235</v>
      </c>
      <c r="F815" s="1030"/>
      <c r="G815" s="1058">
        <f ca="1">IF(G$8&gt;1,OFFSET(G815,0,-1),0)+IF(OR(AND(G$5=0,NoZeroCol=1),AND(G$5=-99,NoResCol=1)),0,G$674+G$1125)</f>
        <v>0</v>
      </c>
      <c r="H815" s="1058">
        <f t="shared" ref="H815:Q815" ca="1" si="651">IF(H$8&gt;1,OFFSET(H815,0,-1),0)+IF(OR(AND(H$5=0,NoZeroCol=1),AND(H$5=-99,NoResCol=1)),0,H$674+H$1125)</f>
        <v>0</v>
      </c>
      <c r="I815" s="1058">
        <f t="shared" ca="1" si="651"/>
        <v>0</v>
      </c>
      <c r="J815" s="1058">
        <f t="shared" ca="1" si="651"/>
        <v>0</v>
      </c>
      <c r="K815" s="1058">
        <f t="shared" ca="1" si="651"/>
        <v>0</v>
      </c>
      <c r="L815" s="1058">
        <f t="shared" ca="1" si="651"/>
        <v>0</v>
      </c>
      <c r="M815" s="1058">
        <f t="shared" ca="1" si="651"/>
        <v>0</v>
      </c>
      <c r="N815" s="1058">
        <f t="shared" ca="1" si="651"/>
        <v>0</v>
      </c>
      <c r="O815" s="1058">
        <f t="shared" ca="1" si="651"/>
        <v>0</v>
      </c>
      <c r="P815" s="1058">
        <f t="shared" ca="1" si="651"/>
        <v>0</v>
      </c>
      <c r="Q815" s="1052">
        <f t="shared" ca="1" si="651"/>
        <v>0</v>
      </c>
      <c r="R815" s="321"/>
      <c r="S815" s="319" t="s">
        <v>1236</v>
      </c>
    </row>
    <row r="816" spans="1:19" ht="13" customHeight="1" x14ac:dyDescent="0.35">
      <c r="A816" s="235"/>
      <c r="B816" s="445"/>
      <c r="C816" s="434" t="s">
        <v>1237</v>
      </c>
      <c r="D816" s="1123"/>
      <c r="E816" s="434" t="s">
        <v>1238</v>
      </c>
      <c r="F816" s="1026">
        <f t="shared" ref="F816:Q816" ca="1" si="652">F817+F820</f>
        <v>0</v>
      </c>
      <c r="G816" s="1026">
        <f t="shared" ca="1" si="652"/>
        <v>0</v>
      </c>
      <c r="H816" s="1026">
        <f t="shared" ca="1" si="652"/>
        <v>485099.99999999994</v>
      </c>
      <c r="I816" s="1026">
        <f t="shared" ca="1" si="652"/>
        <v>493373.64729977155</v>
      </c>
      <c r="J816" s="1026">
        <f t="shared" ca="1" si="652"/>
        <v>501788.40620465769</v>
      </c>
      <c r="K816" s="1026">
        <f t="shared" ca="1" si="652"/>
        <v>510346.68345069321</v>
      </c>
      <c r="L816" s="1026">
        <f t="shared" ca="1" si="652"/>
        <v>625174.6872270992</v>
      </c>
      <c r="M816" s="1026">
        <f t="shared" ref="M816:N816" ca="1" si="653">M817+M820</f>
        <v>765838.99185319629</v>
      </c>
      <c r="N816" s="1026">
        <f t="shared" ca="1" si="653"/>
        <v>938152.76502016559</v>
      </c>
      <c r="O816" s="1026">
        <f t="shared" ref="O816:P816" ca="1" si="654">O817+O820</f>
        <v>1149237.1371497028</v>
      </c>
      <c r="P816" s="1026">
        <f t="shared" ca="1" si="654"/>
        <v>1407815.4930083861</v>
      </c>
      <c r="Q816" s="512">
        <f t="shared" ca="1" si="652"/>
        <v>0</v>
      </c>
      <c r="R816" s="321"/>
      <c r="S816" s="319" t="s">
        <v>148</v>
      </c>
    </row>
    <row r="817" spans="1:19" ht="13" hidden="1" customHeight="1" x14ac:dyDescent="0.35">
      <c r="A817" s="235"/>
      <c r="B817" s="445"/>
      <c r="C817" s="534" t="s">
        <v>1239</v>
      </c>
      <c r="D817" s="1121"/>
      <c r="E817" s="503" t="s">
        <v>1240</v>
      </c>
      <c r="F817" s="1055">
        <f t="shared" ref="F817" ca="1" si="655">OFFSET($E$818,0,F$8)+OFFSET($E$819,0,F$8)</f>
        <v>0</v>
      </c>
      <c r="G817" s="1055">
        <f ca="1">G818+G819</f>
        <v>0</v>
      </c>
      <c r="H817" s="1055">
        <f t="shared" ref="H817:Q817" ca="1" si="656">H818+H819</f>
        <v>0</v>
      </c>
      <c r="I817" s="1055">
        <f t="shared" ca="1" si="656"/>
        <v>0</v>
      </c>
      <c r="J817" s="1055">
        <f t="shared" ca="1" si="656"/>
        <v>0</v>
      </c>
      <c r="K817" s="1055">
        <f t="shared" ca="1" si="656"/>
        <v>0</v>
      </c>
      <c r="L817" s="1055">
        <f t="shared" ca="1" si="656"/>
        <v>0</v>
      </c>
      <c r="M817" s="1055">
        <f t="shared" ref="M817:N817" ca="1" si="657">M818+M819</f>
        <v>0</v>
      </c>
      <c r="N817" s="1055">
        <f t="shared" ca="1" si="657"/>
        <v>0</v>
      </c>
      <c r="O817" s="1055">
        <f t="shared" ref="O817:P817" ca="1" si="658">O818+O819</f>
        <v>0</v>
      </c>
      <c r="P817" s="1055">
        <f t="shared" ca="1" si="658"/>
        <v>0</v>
      </c>
      <c r="Q817" s="556">
        <f t="shared" ca="1" si="656"/>
        <v>0</v>
      </c>
      <c r="R817" s="321"/>
      <c r="S817" s="319" t="s">
        <v>82</v>
      </c>
    </row>
    <row r="818" spans="1:19" ht="13" hidden="1" customHeight="1" x14ac:dyDescent="0.35">
      <c r="A818" s="235"/>
      <c r="B818" s="445"/>
      <c r="C818" s="535" t="s">
        <v>1241</v>
      </c>
      <c r="D818" s="1123"/>
      <c r="E818" s="434" t="s">
        <v>1242</v>
      </c>
      <c r="F818" s="1025"/>
      <c r="G818" s="1026">
        <f t="shared" ref="G818:Q818" ca="1" si="659">OFFSET(G818,0,-1)+OFFSET($E$696,0,G$8)</f>
        <v>0</v>
      </c>
      <c r="H818" s="1026">
        <f t="shared" ca="1" si="659"/>
        <v>0</v>
      </c>
      <c r="I818" s="1026">
        <f t="shared" ca="1" si="659"/>
        <v>0</v>
      </c>
      <c r="J818" s="1026">
        <f t="shared" ca="1" si="659"/>
        <v>0</v>
      </c>
      <c r="K818" s="1026">
        <f t="shared" ca="1" si="659"/>
        <v>0</v>
      </c>
      <c r="L818" s="1026">
        <f t="shared" ca="1" si="659"/>
        <v>0</v>
      </c>
      <c r="M818" s="1026">
        <f t="shared" ca="1" si="659"/>
        <v>0</v>
      </c>
      <c r="N818" s="1026">
        <f t="shared" ca="1" si="659"/>
        <v>0</v>
      </c>
      <c r="O818" s="1026">
        <f t="shared" ca="1" si="659"/>
        <v>0</v>
      </c>
      <c r="P818" s="1026">
        <f t="shared" ca="1" si="659"/>
        <v>0</v>
      </c>
      <c r="Q818" s="512">
        <f t="shared" ca="1" si="659"/>
        <v>0</v>
      </c>
      <c r="R818" s="321"/>
      <c r="S818" s="319" t="s">
        <v>903</v>
      </c>
    </row>
    <row r="819" spans="1:19" ht="13" hidden="1" customHeight="1" x14ac:dyDescent="0.35">
      <c r="A819" s="235"/>
      <c r="B819" s="445"/>
      <c r="C819" s="578" t="s">
        <v>1243</v>
      </c>
      <c r="D819" s="1124"/>
      <c r="E819" s="447" t="s">
        <v>1244</v>
      </c>
      <c r="F819" s="1032"/>
      <c r="G819" s="1027">
        <f ca="1">MAX(0,MIN(G$1077+G$1079,G$1080))</f>
        <v>0</v>
      </c>
      <c r="H819" s="1027">
        <f t="shared" ref="H819:Q819" ca="1" si="660">MAX(0,MIN(H$1077+H$1079,H$1080))</f>
        <v>0</v>
      </c>
      <c r="I819" s="1027">
        <f t="shared" ca="1" si="660"/>
        <v>0</v>
      </c>
      <c r="J819" s="1027">
        <f t="shared" ca="1" si="660"/>
        <v>0</v>
      </c>
      <c r="K819" s="1027">
        <f t="shared" ca="1" si="660"/>
        <v>0</v>
      </c>
      <c r="L819" s="1027">
        <f t="shared" ca="1" si="660"/>
        <v>0</v>
      </c>
      <c r="M819" s="1027">
        <f t="shared" ca="1" si="660"/>
        <v>0</v>
      </c>
      <c r="N819" s="1027">
        <f t="shared" ca="1" si="660"/>
        <v>0</v>
      </c>
      <c r="O819" s="1027">
        <f t="shared" ca="1" si="660"/>
        <v>0</v>
      </c>
      <c r="P819" s="1027">
        <f t="shared" ca="1" si="660"/>
        <v>0</v>
      </c>
      <c r="Q819" s="579">
        <f t="shared" ca="1" si="660"/>
        <v>0</v>
      </c>
      <c r="R819" s="321"/>
      <c r="S819" s="319" t="s">
        <v>903</v>
      </c>
    </row>
    <row r="820" spans="1:19" ht="13" hidden="1" customHeight="1" x14ac:dyDescent="0.35">
      <c r="A820" s="235"/>
      <c r="B820" s="445"/>
      <c r="C820" s="539" t="s">
        <v>1245</v>
      </c>
      <c r="D820" s="1123"/>
      <c r="E820" s="434" t="s">
        <v>1246</v>
      </c>
      <c r="F820" s="1026">
        <f ca="1">OFFSET($E$821,0,F$8)+OFFSET($E$822,0,F$8)+OFFSET($E$823,0,F$8)+OFFSET($E$824,0,F$8)+OFFSET($E$825,0,F$8)+OFFSET($E$826,0,F$8)</f>
        <v>0</v>
      </c>
      <c r="G820" s="1026">
        <f t="shared" ref="G820:Q820" ca="1" si="661">G$821+G$822+G$823+G$824+G$825+G$826</f>
        <v>0</v>
      </c>
      <c r="H820" s="1026">
        <f t="shared" ca="1" si="661"/>
        <v>485099.99999999994</v>
      </c>
      <c r="I820" s="1026">
        <f t="shared" ca="1" si="661"/>
        <v>493373.64729977155</v>
      </c>
      <c r="J820" s="1026">
        <f t="shared" ca="1" si="661"/>
        <v>501788.40620465769</v>
      </c>
      <c r="K820" s="1026">
        <f t="shared" ca="1" si="661"/>
        <v>510346.68345069321</v>
      </c>
      <c r="L820" s="1026">
        <f t="shared" ca="1" si="661"/>
        <v>625174.6872270992</v>
      </c>
      <c r="M820" s="1026">
        <f t="shared" ca="1" si="661"/>
        <v>765838.99185319629</v>
      </c>
      <c r="N820" s="1026">
        <f t="shared" ca="1" si="661"/>
        <v>938152.76502016559</v>
      </c>
      <c r="O820" s="1026">
        <f t="shared" ca="1" si="661"/>
        <v>1149237.1371497028</v>
      </c>
      <c r="P820" s="1026">
        <f t="shared" ca="1" si="661"/>
        <v>1407815.4930083861</v>
      </c>
      <c r="Q820" s="512">
        <f t="shared" ca="1" si="661"/>
        <v>0</v>
      </c>
      <c r="R820" s="321"/>
      <c r="S820" s="319" t="s">
        <v>82</v>
      </c>
    </row>
    <row r="821" spans="1:19" ht="13" hidden="1" customHeight="1" x14ac:dyDescent="0.35">
      <c r="A821" s="235"/>
      <c r="B821" s="445"/>
      <c r="C821" s="535" t="s">
        <v>971</v>
      </c>
      <c r="D821" s="1119"/>
      <c r="E821" s="434" t="s">
        <v>1247</v>
      </c>
      <c r="F821" s="1025"/>
      <c r="G821" s="1026">
        <f ca="1">OFFSET(G821,0,-1)+G$624-OFFSET($E$619,0,G$8)-OFFSET($E$621,0,G$8)-OFFSET($E$623,0,G$8)+G$1126</f>
        <v>0</v>
      </c>
      <c r="H821" s="1026">
        <f t="shared" ref="H821:Q821" ca="1" si="662">OFFSET(H821,0,-1)+H$624-OFFSET($E$619,0,H$8)-OFFSET($E$621,0,H$8)-OFFSET($E$623,0,H$8)+H$1126</f>
        <v>485099.99999999994</v>
      </c>
      <c r="I821" s="1026">
        <f t="shared" ca="1" si="662"/>
        <v>493373.64729977155</v>
      </c>
      <c r="J821" s="1026">
        <f t="shared" ca="1" si="662"/>
        <v>501788.40620465769</v>
      </c>
      <c r="K821" s="1026">
        <f t="shared" ca="1" si="662"/>
        <v>510346.68345069321</v>
      </c>
      <c r="L821" s="1026">
        <f t="shared" ca="1" si="662"/>
        <v>625174.6872270992</v>
      </c>
      <c r="M821" s="1026">
        <f t="shared" ca="1" si="662"/>
        <v>765838.99185319629</v>
      </c>
      <c r="N821" s="1026">
        <f t="shared" ca="1" si="662"/>
        <v>938152.76502016559</v>
      </c>
      <c r="O821" s="1026">
        <f t="shared" ca="1" si="662"/>
        <v>1149237.1371497028</v>
      </c>
      <c r="P821" s="1026">
        <f t="shared" ca="1" si="662"/>
        <v>1407815.4930083861</v>
      </c>
      <c r="Q821" s="1256">
        <f t="shared" ca="1" si="662"/>
        <v>0</v>
      </c>
      <c r="R821" s="321"/>
      <c r="S821" s="319" t="s">
        <v>903</v>
      </c>
    </row>
    <row r="822" spans="1:19" ht="13" hidden="1" customHeight="1" x14ac:dyDescent="0.35">
      <c r="A822" s="235"/>
      <c r="B822" s="445"/>
      <c r="C822" s="535" t="s">
        <v>5632</v>
      </c>
      <c r="D822" s="1119"/>
      <c r="E822" s="1254" t="s">
        <v>5664</v>
      </c>
      <c r="F822" s="1025"/>
      <c r="G822" s="1026">
        <f t="shared" ref="G822:Q822" ca="1" si="663">OFFSET(G822,0,-1)+IF(AND(G$5=-99,NoResCol=1),0,OFFSET($E$619,0,G$8)+G$1239)</f>
        <v>0</v>
      </c>
      <c r="H822" s="1026">
        <f t="shared" ca="1" si="663"/>
        <v>0</v>
      </c>
      <c r="I822" s="1026">
        <f t="shared" ca="1" si="663"/>
        <v>0</v>
      </c>
      <c r="J822" s="1026">
        <f t="shared" ca="1" si="663"/>
        <v>0</v>
      </c>
      <c r="K822" s="1026">
        <f t="shared" ca="1" si="663"/>
        <v>0</v>
      </c>
      <c r="L822" s="1026">
        <f t="shared" ca="1" si="663"/>
        <v>0</v>
      </c>
      <c r="M822" s="1026">
        <f t="shared" ca="1" si="663"/>
        <v>0</v>
      </c>
      <c r="N822" s="1026">
        <f t="shared" ca="1" si="663"/>
        <v>0</v>
      </c>
      <c r="O822" s="1026">
        <f t="shared" ca="1" si="663"/>
        <v>0</v>
      </c>
      <c r="P822" s="1026">
        <f t="shared" ca="1" si="663"/>
        <v>0</v>
      </c>
      <c r="Q822" s="1256">
        <f t="shared" ca="1" si="663"/>
        <v>0</v>
      </c>
      <c r="R822" s="321"/>
      <c r="S822" s="319" t="s">
        <v>6214</v>
      </c>
    </row>
    <row r="823" spans="1:19" ht="13" hidden="1" customHeight="1" x14ac:dyDescent="0.35">
      <c r="A823" s="235"/>
      <c r="B823" s="445"/>
      <c r="C823" s="535" t="s">
        <v>1248</v>
      </c>
      <c r="D823" s="1119"/>
      <c r="E823" s="434" t="s">
        <v>1249</v>
      </c>
      <c r="F823" s="1025"/>
      <c r="G823" s="1026">
        <f ca="1">OFFSET(G823,0,-1)+IF(OR(AND(G$5=0,NoZeroCol=1),AND(G$5=-99,NoResCol=1)),0,OFFSET($E$621,0,G$8)+G$1127)</f>
        <v>0</v>
      </c>
      <c r="H823" s="1026">
        <f t="shared" ref="H823:Q823" ca="1" si="664">OFFSET(H823,0,-1)+IF(OR(AND(H$5=0,NoZeroCol=1),AND(H$5=-99,NoResCol=1)),0,OFFSET($E$621,0,H$8)+H$1127)</f>
        <v>0</v>
      </c>
      <c r="I823" s="1026">
        <f t="shared" ca="1" si="664"/>
        <v>0</v>
      </c>
      <c r="J823" s="1026">
        <f t="shared" ca="1" si="664"/>
        <v>0</v>
      </c>
      <c r="K823" s="1026">
        <f t="shared" ca="1" si="664"/>
        <v>0</v>
      </c>
      <c r="L823" s="1026">
        <f t="shared" ca="1" si="664"/>
        <v>0</v>
      </c>
      <c r="M823" s="1026">
        <f t="shared" ca="1" si="664"/>
        <v>0</v>
      </c>
      <c r="N823" s="1026">
        <f t="shared" ca="1" si="664"/>
        <v>0</v>
      </c>
      <c r="O823" s="1026">
        <f t="shared" ca="1" si="664"/>
        <v>0</v>
      </c>
      <c r="P823" s="1026">
        <f t="shared" ca="1" si="664"/>
        <v>0</v>
      </c>
      <c r="Q823" s="512">
        <f t="shared" ca="1" si="664"/>
        <v>0</v>
      </c>
      <c r="R823" s="321"/>
      <c r="S823" s="319" t="s">
        <v>903</v>
      </c>
    </row>
    <row r="824" spans="1:19" ht="13" hidden="1" customHeight="1" x14ac:dyDescent="0.35">
      <c r="A824" s="235"/>
      <c r="B824" s="445"/>
      <c r="C824" s="535" t="s">
        <v>5667</v>
      </c>
      <c r="D824" s="1119"/>
      <c r="E824" s="1254" t="s">
        <v>5666</v>
      </c>
      <c r="F824" s="1025"/>
      <c r="G824" s="1026">
        <f t="shared" ref="G824:Q824" ca="1" si="665">OFFSET(G824,0,-1)+IF(AND(G$5=-99,NoResCol=1),0,OFFSET($E$623,0,G$8)+G$1240)</f>
        <v>0</v>
      </c>
      <c r="H824" s="1026">
        <f t="shared" ca="1" si="665"/>
        <v>0</v>
      </c>
      <c r="I824" s="1026">
        <f t="shared" ca="1" si="665"/>
        <v>0</v>
      </c>
      <c r="J824" s="1026">
        <f t="shared" ca="1" si="665"/>
        <v>0</v>
      </c>
      <c r="K824" s="1026">
        <f t="shared" ca="1" si="665"/>
        <v>0</v>
      </c>
      <c r="L824" s="1026">
        <f t="shared" ca="1" si="665"/>
        <v>0</v>
      </c>
      <c r="M824" s="1026">
        <f t="shared" ca="1" si="665"/>
        <v>0</v>
      </c>
      <c r="N824" s="1026">
        <f t="shared" ca="1" si="665"/>
        <v>0</v>
      </c>
      <c r="O824" s="1026">
        <f t="shared" ca="1" si="665"/>
        <v>0</v>
      </c>
      <c r="P824" s="1026">
        <f t="shared" ca="1" si="665"/>
        <v>0</v>
      </c>
      <c r="Q824" s="512">
        <f t="shared" ca="1" si="665"/>
        <v>0</v>
      </c>
      <c r="R824" s="321"/>
      <c r="S824" s="319" t="s">
        <v>6214</v>
      </c>
    </row>
    <row r="825" spans="1:19" ht="13" hidden="1" customHeight="1" x14ac:dyDescent="0.35">
      <c r="A825" s="235"/>
      <c r="B825" s="445"/>
      <c r="C825" s="535" t="s">
        <v>1250</v>
      </c>
      <c r="D825" s="1119"/>
      <c r="E825" s="434" t="s">
        <v>1251</v>
      </c>
      <c r="F825" s="1026"/>
      <c r="G825" s="1026">
        <f>SUM(G$933:G$962)</f>
        <v>0</v>
      </c>
      <c r="H825" s="1026">
        <f t="shared" ref="H825:Q825" si="666">SUM(H$933:H$962)</f>
        <v>0</v>
      </c>
      <c r="I825" s="1026">
        <f t="shared" si="666"/>
        <v>0</v>
      </c>
      <c r="J825" s="1026">
        <f t="shared" si="666"/>
        <v>0</v>
      </c>
      <c r="K825" s="1026">
        <f t="shared" si="666"/>
        <v>0</v>
      </c>
      <c r="L825" s="1026">
        <f t="shared" si="666"/>
        <v>0</v>
      </c>
      <c r="M825" s="1026">
        <f t="shared" si="666"/>
        <v>0</v>
      </c>
      <c r="N825" s="1026">
        <f t="shared" si="666"/>
        <v>0</v>
      </c>
      <c r="O825" s="1026">
        <f t="shared" si="666"/>
        <v>0</v>
      </c>
      <c r="P825" s="1026">
        <f t="shared" si="666"/>
        <v>0</v>
      </c>
      <c r="Q825" s="512">
        <f t="shared" si="666"/>
        <v>0</v>
      </c>
      <c r="R825" s="321"/>
      <c r="S825" s="319" t="s">
        <v>903</v>
      </c>
    </row>
    <row r="826" spans="1:19" ht="13" hidden="1" customHeight="1" x14ac:dyDescent="0.35">
      <c r="A826" s="235"/>
      <c r="B826" s="445"/>
      <c r="C826" s="580" t="s">
        <v>1252</v>
      </c>
      <c r="D826" s="1125"/>
      <c r="E826" s="506" t="s">
        <v>1253</v>
      </c>
      <c r="F826" s="1058"/>
      <c r="G826" s="1058">
        <f ca="1">OFFSET(G826,0,-1)-(OFFSET($E$508,0,G$8)-OFFSET($E$668,0,G$8)-OFFSET($E$688,0,G$8)+G1095)</f>
        <v>0</v>
      </c>
      <c r="H826" s="1058">
        <f t="shared" ref="H826:Q826" ca="1" si="667">OFFSET(H826,0,-1)-(OFFSET($E$508,0,H$8)-OFFSET($E$668,0,H$8)-OFFSET($E$688,0,H$8)+H1095)</f>
        <v>0</v>
      </c>
      <c r="I826" s="1058">
        <f t="shared" ca="1" si="667"/>
        <v>0</v>
      </c>
      <c r="J826" s="1058">
        <f t="shared" ca="1" si="667"/>
        <v>0</v>
      </c>
      <c r="K826" s="1058">
        <f t="shared" ca="1" si="667"/>
        <v>0</v>
      </c>
      <c r="L826" s="1058">
        <f t="shared" ca="1" si="667"/>
        <v>0</v>
      </c>
      <c r="M826" s="1058">
        <f t="shared" ref="M826:N826" ca="1" si="668">OFFSET(M826,0,-1)-(OFFSET($E$508,0,M$8)-OFFSET($E$668,0,M$8)-OFFSET($E$688,0,M$8)+M1095)</f>
        <v>0</v>
      </c>
      <c r="N826" s="1058">
        <f t="shared" ca="1" si="668"/>
        <v>0</v>
      </c>
      <c r="O826" s="1058">
        <f t="shared" ref="O826:P826" ca="1" si="669">OFFSET(O826,0,-1)-(OFFSET($E$508,0,O$8)-OFFSET($E$668,0,O$8)-OFFSET($E$688,0,O$8)+O1095)</f>
        <v>0</v>
      </c>
      <c r="P826" s="1058">
        <f t="shared" ca="1" si="669"/>
        <v>0</v>
      </c>
      <c r="Q826" s="1052">
        <f t="shared" ca="1" si="667"/>
        <v>0</v>
      </c>
      <c r="R826" s="321"/>
      <c r="S826" s="319" t="s">
        <v>903</v>
      </c>
    </row>
    <row r="827" spans="1:19" ht="13" customHeight="1" x14ac:dyDescent="0.35">
      <c r="A827" s="235"/>
      <c r="B827" s="445"/>
      <c r="C827" s="511" t="s">
        <v>1254</v>
      </c>
      <c r="D827" s="1126"/>
      <c r="E827" s="511" t="s">
        <v>1255</v>
      </c>
      <c r="F827" s="1057">
        <f t="shared" ref="F827:Q827" ca="1" si="670">F810+F816</f>
        <v>0</v>
      </c>
      <c r="G827" s="1057">
        <f t="shared" ca="1" si="670"/>
        <v>0</v>
      </c>
      <c r="H827" s="1057">
        <f t="shared" ca="1" si="670"/>
        <v>485099.99999999994</v>
      </c>
      <c r="I827" s="1057">
        <f t="shared" ca="1" si="670"/>
        <v>493373.64729977155</v>
      </c>
      <c r="J827" s="1057">
        <f t="shared" ca="1" si="670"/>
        <v>501788.40620465769</v>
      </c>
      <c r="K827" s="1057">
        <f t="shared" ca="1" si="670"/>
        <v>510346.68345069321</v>
      </c>
      <c r="L827" s="1057">
        <f t="shared" ca="1" si="670"/>
        <v>625174.6872270992</v>
      </c>
      <c r="M827" s="1057">
        <f t="shared" ref="M827:N827" ca="1" si="671">M810+M816</f>
        <v>765838.99185319629</v>
      </c>
      <c r="N827" s="1057">
        <f t="shared" ca="1" si="671"/>
        <v>938152.76502016559</v>
      </c>
      <c r="O827" s="1057">
        <f t="shared" ref="O827:P827" ca="1" si="672">O810+O816</f>
        <v>1149237.1371497028</v>
      </c>
      <c r="P827" s="1057">
        <f t="shared" ca="1" si="672"/>
        <v>1407815.4930083861</v>
      </c>
      <c r="Q827" s="558">
        <f t="shared" ca="1" si="670"/>
        <v>0</v>
      </c>
      <c r="R827" s="321"/>
      <c r="S827" s="319" t="s">
        <v>71</v>
      </c>
    </row>
    <row r="828" spans="1:19" ht="13" customHeight="1" x14ac:dyDescent="0.35">
      <c r="A828" s="235"/>
      <c r="B828" s="517" t="s">
        <v>1209</v>
      </c>
      <c r="C828" s="518"/>
      <c r="D828" s="1127"/>
      <c r="E828" s="511" t="s">
        <v>1256</v>
      </c>
      <c r="F828" s="1060">
        <f t="shared" ref="F828:Q828" ca="1" si="673">F805+OFFSET($E$806,0,F$8)+OFFSET($E$807,0,F$8)+OFFSET($E$808,0,F$8)+F827</f>
        <v>0</v>
      </c>
      <c r="G828" s="1060">
        <f t="shared" ca="1" si="673"/>
        <v>0</v>
      </c>
      <c r="H828" s="1060">
        <f t="shared" ca="1" si="673"/>
        <v>566933.33333333326</v>
      </c>
      <c r="I828" s="1060">
        <f t="shared" ca="1" si="673"/>
        <v>639375.56238838262</v>
      </c>
      <c r="J828" s="1060">
        <f t="shared" ca="1" si="673"/>
        <v>715709.95262499526</v>
      </c>
      <c r="K828" s="1060">
        <f t="shared" ca="1" si="673"/>
        <v>716033.47666297853</v>
      </c>
      <c r="L828" s="1060">
        <f t="shared" ca="1" si="673"/>
        <v>2041877.6933471276</v>
      </c>
      <c r="M828" s="1060">
        <f t="shared" ref="M828:N828" ca="1" si="674">M805+OFFSET($E$806,0,M$8)+OFFSET($E$807,0,M$8)+OFFSET($E$808,0,M$8)+M827</f>
        <v>4129809.1087852097</v>
      </c>
      <c r="N828" s="1060">
        <f t="shared" ca="1" si="674"/>
        <v>7151103.2801968604</v>
      </c>
      <c r="O828" s="1060">
        <f t="shared" ref="O828:P828" ca="1" si="675">O805+OFFSET($E$806,0,O$8)+OFFSET($E$807,0,O$8)+OFFSET($E$808,0,O$8)+O827</f>
        <v>11292637.53080113</v>
      </c>
      <c r="P828" s="1060">
        <f t="shared" ca="1" si="675"/>
        <v>16805116.405760113</v>
      </c>
      <c r="Q828" s="559">
        <f t="shared" ca="1" si="673"/>
        <v>14329994.434887143</v>
      </c>
      <c r="R828" s="321"/>
      <c r="S828" s="319" t="s">
        <v>71</v>
      </c>
    </row>
    <row r="829" spans="1:19" ht="13" hidden="1" customHeight="1" x14ac:dyDescent="0.35">
      <c r="A829" s="235"/>
      <c r="B829" s="581" t="s">
        <v>1257</v>
      </c>
      <c r="C829" s="581"/>
      <c r="D829" s="582"/>
      <c r="E829" s="503" t="s">
        <v>1258</v>
      </c>
      <c r="F829" s="582">
        <f t="shared" ref="F829:Q829" ca="1" si="676">IF(SUM(BalCheck)=0,F828-F$781,0)</f>
        <v>0</v>
      </c>
      <c r="G829" s="582">
        <f t="shared" ca="1" si="676"/>
        <v>0</v>
      </c>
      <c r="H829" s="582">
        <f t="shared" ca="1" si="676"/>
        <v>0</v>
      </c>
      <c r="I829" s="582">
        <f t="shared" ca="1" si="676"/>
        <v>-2.3283064365386963E-10</v>
      </c>
      <c r="J829" s="582">
        <f t="shared" ca="1" si="676"/>
        <v>-4.6566128730773926E-10</v>
      </c>
      <c r="K829" s="582">
        <f t="shared" ca="1" si="676"/>
        <v>-4.6566128730773926E-10</v>
      </c>
      <c r="L829" s="582">
        <f t="shared" ca="1" si="676"/>
        <v>-4.6566128730773926E-10</v>
      </c>
      <c r="M829" s="582">
        <f t="shared" ref="M829:N829" ca="1" si="677">IF(SUM(BalCheck)=0,M828-M$781,0)</f>
        <v>-4.6566128730773926E-10</v>
      </c>
      <c r="N829" s="582">
        <f t="shared" ca="1" si="677"/>
        <v>-1.862645149230957E-9</v>
      </c>
      <c r="O829" s="582">
        <f t="shared" ref="O829:P829" ca="1" si="678">IF(SUM(BalCheck)=0,O828-O$781,0)</f>
        <v>-1.862645149230957E-9</v>
      </c>
      <c r="P829" s="582">
        <f t="shared" ca="1" si="678"/>
        <v>0</v>
      </c>
      <c r="Q829" s="582">
        <f t="shared" ca="1" si="676"/>
        <v>-1.862645149230957E-9</v>
      </c>
      <c r="R829" s="321"/>
      <c r="S829" s="319" t="s">
        <v>903</v>
      </c>
    </row>
    <row r="830" spans="1:19" ht="13" hidden="1" customHeight="1" x14ac:dyDescent="0.35">
      <c r="A830" s="235"/>
      <c r="B830" s="583" t="s">
        <v>788</v>
      </c>
      <c r="C830" s="584"/>
      <c r="D830" s="1112"/>
      <c r="E830" s="586" t="s">
        <v>1259</v>
      </c>
      <c r="F830" s="1089"/>
      <c r="G830" s="1090">
        <f t="shared" ref="G830:Q830" ca="1" si="679">SUM(G$782:G$795)-SUM(G$831:G$834)</f>
        <v>0</v>
      </c>
      <c r="H830" s="1090">
        <f t="shared" ca="1" si="679"/>
        <v>0</v>
      </c>
      <c r="I830" s="1090">
        <f t="shared" ca="1" si="679"/>
        <v>0</v>
      </c>
      <c r="J830" s="1090">
        <f t="shared" ca="1" si="679"/>
        <v>0</v>
      </c>
      <c r="K830" s="1090">
        <f t="shared" ca="1" si="679"/>
        <v>0</v>
      </c>
      <c r="L830" s="1090">
        <f t="shared" ca="1" si="679"/>
        <v>0</v>
      </c>
      <c r="M830" s="1090">
        <f t="shared" ca="1" si="679"/>
        <v>0</v>
      </c>
      <c r="N830" s="1090">
        <f t="shared" ca="1" si="679"/>
        <v>0</v>
      </c>
      <c r="O830" s="1090">
        <f t="shared" ca="1" si="679"/>
        <v>0</v>
      </c>
      <c r="P830" s="1090">
        <f t="shared" ca="1" si="679"/>
        <v>0</v>
      </c>
      <c r="Q830" s="585">
        <f t="shared" ca="1" si="679"/>
        <v>0</v>
      </c>
      <c r="R830" s="321"/>
      <c r="S830" s="319" t="s">
        <v>658</v>
      </c>
    </row>
    <row r="831" spans="1:19" ht="13" hidden="1" customHeight="1" x14ac:dyDescent="0.35">
      <c r="A831" s="235"/>
      <c r="B831" s="587" t="s">
        <v>885</v>
      </c>
      <c r="C831" s="588"/>
      <c r="D831" s="1113"/>
      <c r="E831" s="349" t="s">
        <v>1260</v>
      </c>
      <c r="F831" s="1084"/>
      <c r="G831" s="1091">
        <f t="shared" ref="G831:Q831" ca="1" si="680">OFFSET(G831,0,-1)-G$529+OFFSET($E$510,0,G$8)</f>
        <v>0</v>
      </c>
      <c r="H831" s="1091">
        <f t="shared" ca="1" si="680"/>
        <v>0</v>
      </c>
      <c r="I831" s="1091">
        <f t="shared" ca="1" si="680"/>
        <v>0</v>
      </c>
      <c r="J831" s="1091">
        <f t="shared" ca="1" si="680"/>
        <v>0</v>
      </c>
      <c r="K831" s="1091">
        <f t="shared" ca="1" si="680"/>
        <v>0</v>
      </c>
      <c r="L831" s="1091">
        <f t="shared" ca="1" si="680"/>
        <v>0</v>
      </c>
      <c r="M831" s="1091">
        <f t="shared" ca="1" si="680"/>
        <v>0</v>
      </c>
      <c r="N831" s="1091">
        <f t="shared" ca="1" si="680"/>
        <v>0</v>
      </c>
      <c r="O831" s="1091">
        <f t="shared" ca="1" si="680"/>
        <v>0</v>
      </c>
      <c r="P831" s="1091">
        <f t="shared" ca="1" si="680"/>
        <v>0</v>
      </c>
      <c r="Q831" s="589">
        <f t="shared" ca="1" si="680"/>
        <v>0</v>
      </c>
      <c r="R831" s="321"/>
      <c r="S831" s="319" t="s">
        <v>658</v>
      </c>
    </row>
    <row r="832" spans="1:19" ht="13" hidden="1" customHeight="1" x14ac:dyDescent="0.35">
      <c r="A832" s="235"/>
      <c r="B832" s="587" t="s">
        <v>692</v>
      </c>
      <c r="C832" s="588"/>
      <c r="D832" s="1113"/>
      <c r="E832" s="349" t="s">
        <v>1261</v>
      </c>
      <c r="F832" s="1084"/>
      <c r="G832" s="1091">
        <f ca="1">IF(GWtype=2,G$1026,0)</f>
        <v>0</v>
      </c>
      <c r="H832" s="1091">
        <f t="shared" ref="H832:Q832" ca="1" si="681">IF(GWtype=2,H$1026,0)</f>
        <v>0</v>
      </c>
      <c r="I832" s="1091">
        <f t="shared" ca="1" si="681"/>
        <v>0</v>
      </c>
      <c r="J832" s="1091">
        <f t="shared" ca="1" si="681"/>
        <v>0</v>
      </c>
      <c r="K832" s="1091">
        <f t="shared" ca="1" si="681"/>
        <v>0</v>
      </c>
      <c r="L832" s="1091">
        <f t="shared" ca="1" si="681"/>
        <v>0</v>
      </c>
      <c r="M832" s="1091">
        <f t="shared" ca="1" si="681"/>
        <v>0</v>
      </c>
      <c r="N832" s="1091">
        <f t="shared" ca="1" si="681"/>
        <v>0</v>
      </c>
      <c r="O832" s="1091">
        <f t="shared" ca="1" si="681"/>
        <v>0</v>
      </c>
      <c r="P832" s="1091">
        <f t="shared" ca="1" si="681"/>
        <v>0</v>
      </c>
      <c r="Q832" s="589">
        <f t="shared" si="681"/>
        <v>0</v>
      </c>
      <c r="R832" s="321"/>
      <c r="S832" s="319" t="s">
        <v>658</v>
      </c>
    </row>
    <row r="833" spans="1:19" ht="13" hidden="1" customHeight="1" x14ac:dyDescent="0.35">
      <c r="A833" s="235"/>
      <c r="B833" s="587" t="s">
        <v>1229</v>
      </c>
      <c r="C833" s="588"/>
      <c r="D833" s="1114"/>
      <c r="E833" s="349" t="s">
        <v>1262</v>
      </c>
      <c r="F833" s="1084"/>
      <c r="G833" s="1091">
        <f t="shared" ref="G833:Q833" ca="1" si="682">G$430-G$834</f>
        <v>0</v>
      </c>
      <c r="H833" s="1091">
        <f t="shared" ca="1" si="682"/>
        <v>0</v>
      </c>
      <c r="I833" s="1091">
        <f t="shared" ca="1" si="682"/>
        <v>0</v>
      </c>
      <c r="J833" s="1091">
        <f t="shared" ca="1" si="682"/>
        <v>0</v>
      </c>
      <c r="K833" s="1091">
        <f t="shared" ca="1" si="682"/>
        <v>0</v>
      </c>
      <c r="L833" s="1091">
        <f t="shared" ca="1" si="682"/>
        <v>0</v>
      </c>
      <c r="M833" s="1091">
        <f t="shared" ca="1" si="682"/>
        <v>0</v>
      </c>
      <c r="N833" s="1091">
        <f t="shared" ca="1" si="682"/>
        <v>0</v>
      </c>
      <c r="O833" s="1091">
        <f t="shared" ca="1" si="682"/>
        <v>0</v>
      </c>
      <c r="P833" s="1091">
        <f t="shared" ca="1" si="682"/>
        <v>0</v>
      </c>
      <c r="Q833" s="589">
        <f t="shared" ca="1" si="682"/>
        <v>0</v>
      </c>
      <c r="R833" s="321"/>
      <c r="S833" s="319" t="s">
        <v>658</v>
      </c>
    </row>
    <row r="834" spans="1:19" ht="13" hidden="1" customHeight="1" x14ac:dyDescent="0.35">
      <c r="A834" s="434"/>
      <c r="B834" s="590" t="s">
        <v>1239</v>
      </c>
      <c r="C834" s="591"/>
      <c r="D834" s="1115"/>
      <c r="E834" s="592" t="s">
        <v>1263</v>
      </c>
      <c r="F834" s="1085"/>
      <c r="G834" s="1092">
        <f ca="1">G$1076</f>
        <v>0</v>
      </c>
      <c r="H834" s="1092">
        <f t="shared" ref="H834:Q834" ca="1" si="683">H$1076</f>
        <v>0</v>
      </c>
      <c r="I834" s="1092">
        <f t="shared" ca="1" si="683"/>
        <v>0</v>
      </c>
      <c r="J834" s="1092">
        <f t="shared" ca="1" si="683"/>
        <v>0</v>
      </c>
      <c r="K834" s="1092">
        <f t="shared" ca="1" si="683"/>
        <v>0</v>
      </c>
      <c r="L834" s="1092">
        <f t="shared" ca="1" si="683"/>
        <v>0</v>
      </c>
      <c r="M834" s="1092">
        <f t="shared" ca="1" si="683"/>
        <v>0</v>
      </c>
      <c r="N834" s="1092">
        <f t="shared" ca="1" si="683"/>
        <v>0</v>
      </c>
      <c r="O834" s="1092">
        <f t="shared" ca="1" si="683"/>
        <v>0</v>
      </c>
      <c r="P834" s="1092">
        <f t="shared" ca="1" si="683"/>
        <v>0</v>
      </c>
      <c r="Q834" s="1088">
        <f t="shared" ca="1" si="683"/>
        <v>0</v>
      </c>
      <c r="R834" s="381"/>
      <c r="S834" s="319" t="s">
        <v>658</v>
      </c>
    </row>
    <row r="835" spans="1:19" ht="13" hidden="1" customHeight="1" x14ac:dyDescent="0.35">
      <c r="A835" s="235"/>
      <c r="B835" s="593" t="s">
        <v>1264</v>
      </c>
      <c r="C835" s="594"/>
      <c r="D835" s="1116"/>
      <c r="E835" s="313" t="s">
        <v>1265</v>
      </c>
      <c r="F835" s="1086"/>
      <c r="G835" s="1087">
        <f t="shared" ref="G835:Q835" ca="1" si="684">G828+SUM(G830:G834)</f>
        <v>0</v>
      </c>
      <c r="H835" s="1087">
        <f t="shared" ca="1" si="684"/>
        <v>566933.33333333326</v>
      </c>
      <c r="I835" s="1087">
        <f t="shared" ca="1" si="684"/>
        <v>639375.56238838262</v>
      </c>
      <c r="J835" s="1087">
        <f t="shared" ca="1" si="684"/>
        <v>715709.95262499526</v>
      </c>
      <c r="K835" s="1087">
        <f t="shared" ca="1" si="684"/>
        <v>716033.47666297853</v>
      </c>
      <c r="L835" s="1087">
        <f t="shared" ca="1" si="684"/>
        <v>2041877.6933471276</v>
      </c>
      <c r="M835" s="1087">
        <f t="shared" ref="M835:N835" ca="1" si="685">M828+SUM(M830:M834)</f>
        <v>4129809.1087852097</v>
      </c>
      <c r="N835" s="1087">
        <f t="shared" ca="1" si="685"/>
        <v>7151103.2801968604</v>
      </c>
      <c r="O835" s="1087">
        <f t="shared" ref="O835:P835" ca="1" si="686">O828+SUM(O830:O834)</f>
        <v>11292637.53080113</v>
      </c>
      <c r="P835" s="1087">
        <f t="shared" ca="1" si="686"/>
        <v>16805116.405760113</v>
      </c>
      <c r="Q835" s="573">
        <f t="shared" ca="1" si="684"/>
        <v>14329994.434887143</v>
      </c>
      <c r="R835" s="321"/>
      <c r="S835" s="319" t="s">
        <v>658</v>
      </c>
    </row>
    <row r="836" spans="1:19" ht="11.25" hidden="1" customHeight="1" x14ac:dyDescent="0.35">
      <c r="A836" s="235"/>
      <c r="B836" s="584" t="s">
        <v>1266</v>
      </c>
      <c r="C836" s="584"/>
      <c r="D836" s="584"/>
      <c r="E836" s="503" t="s">
        <v>1267</v>
      </c>
      <c r="F836" s="562"/>
      <c r="G836" s="595">
        <f t="shared" ref="G836:Q836" ca="1" si="687">IF(SUM(BalCheck)=0,G835-G$796,0)</f>
        <v>0</v>
      </c>
      <c r="H836" s="595">
        <f t="shared" ca="1" si="687"/>
        <v>0</v>
      </c>
      <c r="I836" s="595">
        <f t="shared" ca="1" si="687"/>
        <v>-2.3283064365386963E-10</v>
      </c>
      <c r="J836" s="595">
        <f t="shared" ca="1" si="687"/>
        <v>-4.6566128730773926E-10</v>
      </c>
      <c r="K836" s="595">
        <f t="shared" ca="1" si="687"/>
        <v>-4.6566128730773926E-10</v>
      </c>
      <c r="L836" s="595">
        <f t="shared" ca="1" si="687"/>
        <v>-4.6566128730773926E-10</v>
      </c>
      <c r="M836" s="595">
        <f t="shared" ref="M836:N836" ca="1" si="688">IF(SUM(BalCheck)=0,M835-M$796,0)</f>
        <v>-4.6566128730773926E-10</v>
      </c>
      <c r="N836" s="595">
        <f t="shared" ca="1" si="688"/>
        <v>-1.862645149230957E-9</v>
      </c>
      <c r="O836" s="595">
        <f t="shared" ref="O836:P836" ca="1" si="689">IF(SUM(BalCheck)=0,O835-O$796,0)</f>
        <v>-1.862645149230957E-9</v>
      </c>
      <c r="P836" s="595">
        <f t="shared" ca="1" si="689"/>
        <v>0</v>
      </c>
      <c r="Q836" s="595">
        <f t="shared" ca="1" si="687"/>
        <v>-1.862645149230957E-9</v>
      </c>
      <c r="R836" s="321"/>
      <c r="S836" s="319" t="s">
        <v>933</v>
      </c>
    </row>
    <row r="837" spans="1:19" ht="3" hidden="1" customHeight="1" x14ac:dyDescent="0.35">
      <c r="A837" s="235"/>
      <c r="B837" s="596"/>
      <c r="C837" s="596"/>
      <c r="D837" s="596"/>
      <c r="E837" s="434" t="s">
        <v>39</v>
      </c>
      <c r="F837" s="434"/>
      <c r="G837" s="597"/>
      <c r="H837" s="597"/>
      <c r="I837" s="597"/>
      <c r="J837" s="597"/>
      <c r="K837" s="597"/>
      <c r="L837" s="597"/>
      <c r="M837" s="597"/>
      <c r="N837" s="597"/>
      <c r="O837" s="597"/>
      <c r="P837" s="597"/>
      <c r="Q837" s="597"/>
      <c r="R837" s="321"/>
      <c r="S837" s="319" t="s">
        <v>40</v>
      </c>
    </row>
    <row r="838" spans="1:19" ht="13" hidden="1" customHeight="1" x14ac:dyDescent="0.35">
      <c r="A838" s="235"/>
      <c r="B838" s="598" t="s">
        <v>1268</v>
      </c>
      <c r="C838" s="598"/>
      <c r="D838" s="599"/>
      <c r="E838" s="506" t="s">
        <v>1269</v>
      </c>
      <c r="F838" s="434"/>
      <c r="G838" s="597"/>
      <c r="H838" s="597"/>
      <c r="I838" s="597"/>
      <c r="J838" s="597"/>
      <c r="K838" s="597"/>
      <c r="L838" s="597"/>
      <c r="M838" s="597"/>
      <c r="N838" s="597"/>
      <c r="O838" s="597"/>
      <c r="P838" s="597"/>
      <c r="Q838" s="597"/>
      <c r="R838" s="321"/>
      <c r="S838" s="319" t="s">
        <v>1040</v>
      </c>
    </row>
    <row r="839" spans="1:19" ht="13" hidden="1" customHeight="1" x14ac:dyDescent="0.35">
      <c r="A839" s="235"/>
      <c r="B839" s="600" t="s">
        <v>1270</v>
      </c>
      <c r="C839" s="601"/>
      <c r="D839" s="1110"/>
      <c r="E839" s="511" t="s">
        <v>1271</v>
      </c>
      <c r="F839" s="1094"/>
      <c r="G839" s="1095">
        <f t="shared" ref="G839:P839" ca="1" si="690">IF(G$16&lt;&gt;LastPeriod,G$772-G$760-G$764+IF(ImpairmentWorkingCapital=1,G$626-G$572,0)+IF(ImpairmentFinancialAssets=1,G$779+G$760+G$764,0)+IF(InvOrAcq=2,G$794+IF(ImpairmentFinancialAssets=1,G$795,0)+IF(GWtype=2,SUM(G$782:G$793),0),0),"")</f>
        <v>0</v>
      </c>
      <c r="H839" s="1095">
        <f t="shared" ca="1" si="690"/>
        <v>1498333.3333333333</v>
      </c>
      <c r="I839" s="1095">
        <f t="shared" ca="1" si="690"/>
        <v>1974166.6666666665</v>
      </c>
      <c r="J839" s="1095">
        <f t="shared" ca="1" si="690"/>
        <v>2298833.3333333335</v>
      </c>
      <c r="K839" s="1095">
        <f t="shared" ca="1" si="690"/>
        <v>2622333.3333333335</v>
      </c>
      <c r="L839" s="1095">
        <f t="shared" ca="1" si="690"/>
        <v>2319958.3333333335</v>
      </c>
      <c r="M839" s="1095">
        <f t="shared" ca="1" si="690"/>
        <v>2143677.0833333335</v>
      </c>
      <c r="N839" s="1095">
        <f t="shared" ca="1" si="690"/>
        <v>1921341.1458333335</v>
      </c>
      <c r="O839" s="1095">
        <f t="shared" ca="1" si="690"/>
        <v>1765714.1927083335</v>
      </c>
      <c r="P839" s="1095" t="str">
        <f t="shared" si="690"/>
        <v/>
      </c>
      <c r="Q839" s="1093"/>
      <c r="R839" s="321"/>
      <c r="S839" s="319" t="s">
        <v>1040</v>
      </c>
    </row>
    <row r="840" spans="1:19" ht="13" hidden="1" customHeight="1" x14ac:dyDescent="0.35">
      <c r="A840" s="235"/>
      <c r="B840" s="600" t="str">
        <f>SUBSTITUTE(B685," (IAS)","")</f>
        <v>Value in use</v>
      </c>
      <c r="C840" s="601"/>
      <c r="D840" s="1110"/>
      <c r="E840" s="511" t="s">
        <v>1272</v>
      </c>
      <c r="F840" s="1094"/>
      <c r="G840" s="1095">
        <f t="shared" ref="G840:L840" ca="1" si="691">G685</f>
        <v>17732074.618754689</v>
      </c>
      <c r="H840" s="1095">
        <f t="shared" ca="1" si="691"/>
        <v>20310107.262245663</v>
      </c>
      <c r="I840" s="1095">
        <f t="shared" ca="1" si="691"/>
        <v>21117615.559870441</v>
      </c>
      <c r="J840" s="1095">
        <f t="shared" ca="1" si="691"/>
        <v>21447251.087549798</v>
      </c>
      <c r="K840" s="1095">
        <f t="shared" ca="1" si="691"/>
        <v>21773059.064139605</v>
      </c>
      <c r="L840" s="1095">
        <f t="shared" ca="1" si="691"/>
        <v>20594964.633816056</v>
      </c>
      <c r="M840" s="1095">
        <f t="shared" ref="M840:N840" ca="1" si="692">M685</f>
        <v>18669617.606500972</v>
      </c>
      <c r="N840" s="1095">
        <f t="shared" ca="1" si="692"/>
        <v>15480439.1111171</v>
      </c>
      <c r="O840" s="1095">
        <f t="shared" ref="O840:P840" ca="1" si="693">O685</f>
        <v>10875474.786708564</v>
      </c>
      <c r="P840" s="1095" t="str">
        <f t="shared" ca="1" si="693"/>
        <v/>
      </c>
      <c r="Q840" s="1093"/>
      <c r="R840" s="321"/>
      <c r="S840" s="319" t="s">
        <v>1040</v>
      </c>
    </row>
    <row r="841" spans="1:19" ht="13" hidden="1" customHeight="1" x14ac:dyDescent="0.35">
      <c r="A841" s="235"/>
      <c r="B841" s="602" t="s">
        <v>1273</v>
      </c>
      <c r="C841" s="603"/>
      <c r="D841" s="1111"/>
      <c r="E841" s="511" t="s">
        <v>1274</v>
      </c>
      <c r="F841" s="1060"/>
      <c r="G841" s="1095">
        <f t="shared" ref="G841:L841" ca="1" si="694">IF(ISERROR(G840-G839),"",G840-G839)</f>
        <v>17732074.618754689</v>
      </c>
      <c r="H841" s="1095">
        <f t="shared" ca="1" si="694"/>
        <v>18811773.92891233</v>
      </c>
      <c r="I841" s="1095">
        <f t="shared" ca="1" si="694"/>
        <v>19143448.893203773</v>
      </c>
      <c r="J841" s="1095">
        <f t="shared" ca="1" si="694"/>
        <v>19148417.754216466</v>
      </c>
      <c r="K841" s="1095">
        <f t="shared" ca="1" si="694"/>
        <v>19150725.730806272</v>
      </c>
      <c r="L841" s="1095">
        <f t="shared" ca="1" si="694"/>
        <v>18275006.300482724</v>
      </c>
      <c r="M841" s="1095">
        <f t="shared" ref="M841:N841" ca="1" si="695">IF(ISERROR(M840-M839),"",M840-M839)</f>
        <v>16525940.523167638</v>
      </c>
      <c r="N841" s="1095">
        <f t="shared" ca="1" si="695"/>
        <v>13559097.965283766</v>
      </c>
      <c r="O841" s="1095">
        <f t="shared" ref="O841:P841" ca="1" si="696">IF(ISERROR(O840-O839),"",O840-O839)</f>
        <v>9109760.5940002296</v>
      </c>
      <c r="P841" s="1095" t="str">
        <f t="shared" ca="1" si="696"/>
        <v/>
      </c>
      <c r="Q841" s="1093"/>
      <c r="R841" s="321"/>
      <c r="S841" s="319" t="s">
        <v>1040</v>
      </c>
    </row>
    <row r="842" spans="1:19" ht="5.15" customHeight="1" x14ac:dyDescent="0.35">
      <c r="A842" s="604" t="str">
        <f>$B$488&amp;IF(TRIM(IF(Figures&gt;1,Figures&amp;" ","")&amp;Currency)&lt;&gt;"",", ","")&amp;IF(Figures&gt;1,Figures&amp;" ","")&amp;Currency</f>
        <v>EBITDA; Operating income before depreciation, Euro</v>
      </c>
      <c r="B842" s="235"/>
      <c r="C842" s="235"/>
      <c r="D842" s="235"/>
      <c r="E842" s="434" t="s">
        <v>39</v>
      </c>
      <c r="F842" s="434"/>
      <c r="G842" s="605"/>
      <c r="H842" s="605"/>
      <c r="I842" s="605"/>
      <c r="J842" s="605"/>
      <c r="K842" s="605"/>
      <c r="L842" s="605"/>
      <c r="M842" s="605"/>
      <c r="N842" s="605"/>
      <c r="O842" s="605"/>
      <c r="P842" s="605"/>
      <c r="Q842" s="605"/>
      <c r="R842" s="321"/>
      <c r="S842" s="319" t="s">
        <v>66</v>
      </c>
    </row>
    <row r="843" spans="1:19" ht="11.25" customHeight="1" x14ac:dyDescent="0.35">
      <c r="A843" s="606" t="s">
        <v>5339</v>
      </c>
      <c r="B843" s="331" t="s">
        <v>1275</v>
      </c>
      <c r="C843" s="235"/>
      <c r="D843" s="235"/>
      <c r="E843" s="434" t="s">
        <v>1276</v>
      </c>
      <c r="F843" s="434"/>
      <c r="G843" s="235"/>
      <c r="H843" s="235"/>
      <c r="I843" s="235"/>
      <c r="J843" s="235"/>
      <c r="K843" s="235"/>
      <c r="L843" s="235"/>
      <c r="M843" s="235"/>
      <c r="N843" s="235"/>
      <c r="O843" s="235"/>
      <c r="P843" s="235"/>
      <c r="Q843" s="235"/>
      <c r="R843" s="321"/>
      <c r="S843" s="319" t="s">
        <v>54</v>
      </c>
    </row>
    <row r="844" spans="1:19" ht="11.25" customHeight="1" x14ac:dyDescent="0.35">
      <c r="A844" s="606" t="str">
        <f>$B$494&amp;IF(TRIM(IF(Figures&gt;1,Figures&amp;" ","")&amp;Currency)&lt;&gt;"",", ","")&amp;IF(Figures&gt;1,Figures&amp;" ","")&amp;Currency</f>
        <v>EBIT; Operating income, Euro</v>
      </c>
      <c r="B844" s="235" t="s">
        <v>45</v>
      </c>
      <c r="C844" s="235"/>
      <c r="D844" s="235"/>
      <c r="E844" s="434" t="s">
        <v>1277</v>
      </c>
      <c r="F844" s="434"/>
      <c r="G844" s="235"/>
      <c r="H844" s="235"/>
      <c r="I844" s="235"/>
      <c r="J844" s="235"/>
      <c r="K844" s="235"/>
      <c r="L844" s="235"/>
      <c r="M844" s="235"/>
      <c r="N844" s="235"/>
      <c r="O844" s="235"/>
      <c r="P844" s="235"/>
      <c r="Q844" s="235"/>
      <c r="R844" s="321"/>
      <c r="S844" s="319" t="s">
        <v>54</v>
      </c>
    </row>
    <row r="845" spans="1:19" ht="16" customHeight="1" x14ac:dyDescent="0.35">
      <c r="A845" s="606" t="s">
        <v>5338</v>
      </c>
      <c r="B845" s="607" t="s">
        <v>1278</v>
      </c>
      <c r="C845" s="506"/>
      <c r="D845" s="506"/>
      <c r="E845" s="434" t="s">
        <v>1279</v>
      </c>
      <c r="F845" s="434"/>
      <c r="G845" s="235"/>
      <c r="H845" s="235"/>
      <c r="I845" s="235"/>
      <c r="J845" s="235"/>
      <c r="K845" s="235"/>
      <c r="L845" s="235"/>
      <c r="M845" s="235"/>
      <c r="N845" s="235"/>
      <c r="O845" s="235"/>
      <c r="P845" s="235"/>
      <c r="Q845" s="506"/>
      <c r="R845" s="321"/>
      <c r="S845" s="319" t="s">
        <v>66</v>
      </c>
    </row>
    <row r="846" spans="1:19" ht="11.25" customHeight="1" x14ac:dyDescent="0.35">
      <c r="A846" s="608" t="str">
        <f>$B$515</f>
        <v>Return on net assets (RONA), %</v>
      </c>
      <c r="B846" s="334" t="s">
        <v>45</v>
      </c>
      <c r="C846" s="435"/>
      <c r="D846" s="1104"/>
      <c r="E846" s="337" t="s">
        <v>1280</v>
      </c>
      <c r="F846" s="950" t="str">
        <f>F$1&amp;"/"&amp;F$3</f>
        <v>12/2018</v>
      </c>
      <c r="G846" s="951" t="str">
        <f>G$1&amp;"/"&amp;G$3</f>
        <v>9/2019</v>
      </c>
      <c r="H846" s="952" t="str">
        <f t="shared" ref="H846:P846" si="697">H$440</f>
        <v>9/2019</v>
      </c>
      <c r="I846" s="952" t="str">
        <f t="shared" si="697"/>
        <v>10/2019</v>
      </c>
      <c r="J846" s="952" t="str">
        <f t="shared" si="697"/>
        <v>11/2019</v>
      </c>
      <c r="K846" s="952" t="str">
        <f t="shared" si="697"/>
        <v>12/2019</v>
      </c>
      <c r="L846" s="952" t="str">
        <f t="shared" si="697"/>
        <v>12/2020</v>
      </c>
      <c r="M846" s="952" t="str">
        <f t="shared" si="697"/>
        <v>12/2021</v>
      </c>
      <c r="N846" s="952" t="str">
        <f t="shared" si="697"/>
        <v>12/2022</v>
      </c>
      <c r="O846" s="952" t="str">
        <f t="shared" si="697"/>
        <v>12/2023</v>
      </c>
      <c r="P846" s="952" t="str">
        <f t="shared" si="697"/>
        <v>12/2024</v>
      </c>
      <c r="Q846" s="947" t="str">
        <f ca="1">Q$16</f>
        <v>Residual</v>
      </c>
      <c r="R846" s="321"/>
      <c r="S846" s="319" t="s">
        <v>66</v>
      </c>
    </row>
    <row r="847" spans="1:19" ht="11.25" customHeight="1" x14ac:dyDescent="0.35">
      <c r="A847" s="609" t="str">
        <f>$B$516&amp;IF(TRIM(IF(Figures&gt;1,Figures&amp;" ","")&amp;Currency)&lt;&gt;"",", ","")&amp;IF(Figures&gt;1,Figures&amp;" ","")&amp;Currency</f>
        <v>Economic Value Added (EVA), Euro</v>
      </c>
      <c r="B847" s="341" t="s">
        <v>59</v>
      </c>
      <c r="C847" s="342"/>
      <c r="D847" s="1105"/>
      <c r="E847" s="434" t="s">
        <v>1281</v>
      </c>
      <c r="F847" s="953">
        <f>F$17</f>
        <v>12</v>
      </c>
      <c r="G847" s="954"/>
      <c r="H847" s="954">
        <f t="shared" ref="H847:Q847" si="698">H$17</f>
        <v>1</v>
      </c>
      <c r="I847" s="954">
        <f t="shared" si="698"/>
        <v>1</v>
      </c>
      <c r="J847" s="954">
        <f t="shared" si="698"/>
        <v>1</v>
      </c>
      <c r="K847" s="954">
        <f t="shared" si="698"/>
        <v>1</v>
      </c>
      <c r="L847" s="954">
        <f t="shared" si="698"/>
        <v>12</v>
      </c>
      <c r="M847" s="954">
        <f t="shared" si="698"/>
        <v>12</v>
      </c>
      <c r="N847" s="954">
        <f t="shared" si="698"/>
        <v>12</v>
      </c>
      <c r="O847" s="954">
        <f t="shared" si="698"/>
        <v>12</v>
      </c>
      <c r="P847" s="954">
        <f t="shared" si="698"/>
        <v>12</v>
      </c>
      <c r="Q847" s="948" t="str">
        <f t="shared" ca="1" si="698"/>
        <v>(12/2024)</v>
      </c>
      <c r="R847" s="321"/>
      <c r="S847" s="319" t="s">
        <v>71</v>
      </c>
    </row>
    <row r="848" spans="1:19" ht="13" customHeight="1" x14ac:dyDescent="0.35">
      <c r="A848" s="609" t="str">
        <f t="shared" ref="A848:A907" ca="1" si="699">TRIM(""&amp;OFFSET(A848,0,1)&amp;" "&amp;OFFSET(A848,0,2)&amp;" "&amp;OFFSET(A848,0,3))</f>
        <v/>
      </c>
      <c r="B848" s="610"/>
      <c r="C848" s="611"/>
      <c r="D848" s="1106"/>
      <c r="E848" s="612" t="s">
        <v>1282</v>
      </c>
      <c r="F848" s="1100"/>
      <c r="G848" s="1100"/>
      <c r="H848" s="1100"/>
      <c r="I848" s="1100"/>
      <c r="J848" s="1100"/>
      <c r="K848" s="1100"/>
      <c r="L848" s="1100"/>
      <c r="M848" s="1100"/>
      <c r="N848" s="1100"/>
      <c r="O848" s="1100"/>
      <c r="P848" s="1100"/>
      <c r="Q848" s="1096"/>
      <c r="R848" s="613"/>
      <c r="S848" s="319" t="s">
        <v>644</v>
      </c>
    </row>
    <row r="849" spans="1:19" ht="13" customHeight="1" x14ac:dyDescent="0.35">
      <c r="A849" s="609" t="str">
        <f t="shared" ca="1" si="699"/>
        <v/>
      </c>
      <c r="B849" s="614"/>
      <c r="C849" s="615"/>
      <c r="D849" s="1107"/>
      <c r="E849" s="612" t="s">
        <v>1283</v>
      </c>
      <c r="F849" s="1101"/>
      <c r="G849" s="1101"/>
      <c r="H849" s="1101"/>
      <c r="I849" s="1101"/>
      <c r="J849" s="1101"/>
      <c r="K849" s="1101"/>
      <c r="L849" s="1101"/>
      <c r="M849" s="1101"/>
      <c r="N849" s="1101"/>
      <c r="O849" s="1101"/>
      <c r="P849" s="1101"/>
      <c r="Q849" s="1097"/>
      <c r="R849" s="613"/>
      <c r="S849" s="319" t="s">
        <v>644</v>
      </c>
    </row>
    <row r="850" spans="1:19" ht="13" customHeight="1" x14ac:dyDescent="0.35">
      <c r="A850" s="609" t="str">
        <f t="shared" ca="1" si="699"/>
        <v/>
      </c>
      <c r="B850" s="614"/>
      <c r="C850" s="615"/>
      <c r="D850" s="1107"/>
      <c r="E850" s="612" t="s">
        <v>1284</v>
      </c>
      <c r="F850" s="1101"/>
      <c r="G850" s="1101"/>
      <c r="H850" s="1101"/>
      <c r="I850" s="1101"/>
      <c r="J850" s="1101"/>
      <c r="K850" s="1101"/>
      <c r="L850" s="1101"/>
      <c r="M850" s="1101"/>
      <c r="N850" s="1101"/>
      <c r="O850" s="1101"/>
      <c r="P850" s="1101"/>
      <c r="Q850" s="1097"/>
      <c r="R850" s="613"/>
      <c r="S850" s="319" t="s">
        <v>644</v>
      </c>
    </row>
    <row r="851" spans="1:19" ht="13" customHeight="1" x14ac:dyDescent="0.35">
      <c r="A851" s="609" t="str">
        <f t="shared" ca="1" si="699"/>
        <v/>
      </c>
      <c r="B851" s="614"/>
      <c r="C851" s="615"/>
      <c r="D851" s="1107"/>
      <c r="E851" s="612" t="s">
        <v>1285</v>
      </c>
      <c r="F851" s="1101"/>
      <c r="G851" s="1101"/>
      <c r="H851" s="1101"/>
      <c r="I851" s="1101"/>
      <c r="J851" s="1101"/>
      <c r="K851" s="1101"/>
      <c r="L851" s="1101"/>
      <c r="M851" s="1101"/>
      <c r="N851" s="1101"/>
      <c r="O851" s="1101"/>
      <c r="P851" s="1101"/>
      <c r="Q851" s="1097"/>
      <c r="R851" s="613"/>
      <c r="S851" s="319" t="s">
        <v>644</v>
      </c>
    </row>
    <row r="852" spans="1:19" ht="13" customHeight="1" x14ac:dyDescent="0.35">
      <c r="A852" s="609" t="str">
        <f t="shared" ca="1" si="699"/>
        <v/>
      </c>
      <c r="B852" s="614"/>
      <c r="C852" s="615"/>
      <c r="D852" s="1107"/>
      <c r="E852" s="612" t="s">
        <v>1286</v>
      </c>
      <c r="F852" s="1101"/>
      <c r="G852" s="1101"/>
      <c r="H852" s="1101"/>
      <c r="I852" s="1101"/>
      <c r="J852" s="1101"/>
      <c r="K852" s="1101"/>
      <c r="L852" s="1101"/>
      <c r="M852" s="1101"/>
      <c r="N852" s="1101"/>
      <c r="O852" s="1101"/>
      <c r="P852" s="1101"/>
      <c r="Q852" s="1097"/>
      <c r="R852" s="613"/>
      <c r="S852" s="319" t="s">
        <v>644</v>
      </c>
    </row>
    <row r="853" spans="1:19" ht="13" customHeight="1" x14ac:dyDescent="0.35">
      <c r="A853" s="609" t="str">
        <f t="shared" ca="1" si="699"/>
        <v/>
      </c>
      <c r="B853" s="614"/>
      <c r="C853" s="615"/>
      <c r="D853" s="1107"/>
      <c r="E853" s="612" t="s">
        <v>1287</v>
      </c>
      <c r="F853" s="1101"/>
      <c r="G853" s="1101"/>
      <c r="H853" s="1101"/>
      <c r="I853" s="1101"/>
      <c r="J853" s="1101"/>
      <c r="K853" s="1101"/>
      <c r="L853" s="1101"/>
      <c r="M853" s="1101"/>
      <c r="N853" s="1101"/>
      <c r="O853" s="1101"/>
      <c r="P853" s="1101"/>
      <c r="Q853" s="1097"/>
      <c r="R853" s="613"/>
      <c r="S853" s="319" t="s">
        <v>644</v>
      </c>
    </row>
    <row r="854" spans="1:19" ht="13" customHeight="1" x14ac:dyDescent="0.35">
      <c r="A854" s="609" t="str">
        <f t="shared" ca="1" si="699"/>
        <v/>
      </c>
      <c r="B854" s="614"/>
      <c r="C854" s="615"/>
      <c r="D854" s="1107"/>
      <c r="E854" s="612" t="s">
        <v>1288</v>
      </c>
      <c r="F854" s="1101"/>
      <c r="G854" s="1101"/>
      <c r="H854" s="1101"/>
      <c r="I854" s="1101"/>
      <c r="J854" s="1101"/>
      <c r="K854" s="1101"/>
      <c r="L854" s="1101"/>
      <c r="M854" s="1101"/>
      <c r="N854" s="1101"/>
      <c r="O854" s="1101"/>
      <c r="P854" s="1101"/>
      <c r="Q854" s="1097"/>
      <c r="R854" s="613"/>
      <c r="S854" s="319" t="s">
        <v>644</v>
      </c>
    </row>
    <row r="855" spans="1:19" ht="13" customHeight="1" x14ac:dyDescent="0.35">
      <c r="A855" s="609" t="str">
        <f t="shared" ca="1" si="699"/>
        <v/>
      </c>
      <c r="B855" s="614"/>
      <c r="C855" s="615"/>
      <c r="D855" s="1107"/>
      <c r="E855" s="612" t="s">
        <v>1289</v>
      </c>
      <c r="F855" s="1101"/>
      <c r="G855" s="1101"/>
      <c r="H855" s="1101"/>
      <c r="I855" s="1101"/>
      <c r="J855" s="1101"/>
      <c r="K855" s="1101"/>
      <c r="L855" s="1101"/>
      <c r="M855" s="1101"/>
      <c r="N855" s="1101"/>
      <c r="O855" s="1101"/>
      <c r="P855" s="1101"/>
      <c r="Q855" s="1097"/>
      <c r="R855" s="613"/>
      <c r="S855" s="319" t="s">
        <v>644</v>
      </c>
    </row>
    <row r="856" spans="1:19" ht="13" customHeight="1" x14ac:dyDescent="0.35">
      <c r="A856" s="609" t="str">
        <f t="shared" ca="1" si="699"/>
        <v/>
      </c>
      <c r="B856" s="614"/>
      <c r="C856" s="615"/>
      <c r="D856" s="1107"/>
      <c r="E856" s="612" t="s">
        <v>1290</v>
      </c>
      <c r="F856" s="1101"/>
      <c r="G856" s="1101"/>
      <c r="H856" s="1101"/>
      <c r="I856" s="1101"/>
      <c r="J856" s="1101"/>
      <c r="K856" s="1101"/>
      <c r="L856" s="1101"/>
      <c r="M856" s="1101"/>
      <c r="N856" s="1101"/>
      <c r="O856" s="1101"/>
      <c r="P856" s="1101"/>
      <c r="Q856" s="1097"/>
      <c r="R856" s="613"/>
      <c r="S856" s="319" t="s">
        <v>644</v>
      </c>
    </row>
    <row r="857" spans="1:19" ht="13" customHeight="1" x14ac:dyDescent="0.35">
      <c r="A857" s="609" t="str">
        <f t="shared" ca="1" si="699"/>
        <v/>
      </c>
      <c r="B857" s="614"/>
      <c r="C857" s="615"/>
      <c r="D857" s="1107"/>
      <c r="E857" s="612" t="s">
        <v>1291</v>
      </c>
      <c r="F857" s="1101"/>
      <c r="G857" s="1101"/>
      <c r="H857" s="1101"/>
      <c r="I857" s="1101"/>
      <c r="J857" s="1101"/>
      <c r="K857" s="1101"/>
      <c r="L857" s="1101"/>
      <c r="M857" s="1101"/>
      <c r="N857" s="1101"/>
      <c r="O857" s="1101"/>
      <c r="P857" s="1101"/>
      <c r="Q857" s="1097"/>
      <c r="R857" s="613"/>
      <c r="S857" s="319" t="s">
        <v>644</v>
      </c>
    </row>
    <row r="858" spans="1:19" ht="13" customHeight="1" x14ac:dyDescent="0.35">
      <c r="A858" s="609" t="str">
        <f t="shared" ca="1" si="699"/>
        <v/>
      </c>
      <c r="B858" s="614"/>
      <c r="C858" s="615"/>
      <c r="D858" s="1107"/>
      <c r="E858" s="612" t="s">
        <v>1292</v>
      </c>
      <c r="F858" s="1101"/>
      <c r="G858" s="1101"/>
      <c r="H858" s="1101"/>
      <c r="I858" s="1101"/>
      <c r="J858" s="1101"/>
      <c r="K858" s="1101"/>
      <c r="L858" s="1101"/>
      <c r="M858" s="1101"/>
      <c r="N858" s="1101"/>
      <c r="O858" s="1101"/>
      <c r="P858" s="1101"/>
      <c r="Q858" s="1097"/>
      <c r="R858" s="613"/>
      <c r="S858" s="319" t="s">
        <v>644</v>
      </c>
    </row>
    <row r="859" spans="1:19" ht="13" customHeight="1" x14ac:dyDescent="0.35">
      <c r="A859" s="609" t="str">
        <f t="shared" ca="1" si="699"/>
        <v/>
      </c>
      <c r="B859" s="614"/>
      <c r="C859" s="615"/>
      <c r="D859" s="1107"/>
      <c r="E859" s="612" t="s">
        <v>1293</v>
      </c>
      <c r="F859" s="1101"/>
      <c r="G859" s="1101"/>
      <c r="H859" s="1101"/>
      <c r="I859" s="1101"/>
      <c r="J859" s="1101"/>
      <c r="K859" s="1101"/>
      <c r="L859" s="1101"/>
      <c r="M859" s="1101"/>
      <c r="N859" s="1101"/>
      <c r="O859" s="1101"/>
      <c r="P859" s="1101"/>
      <c r="Q859" s="1097"/>
      <c r="R859" s="613"/>
      <c r="S859" s="319" t="s">
        <v>644</v>
      </c>
    </row>
    <row r="860" spans="1:19" ht="13" customHeight="1" x14ac:dyDescent="0.35">
      <c r="A860" s="609" t="str">
        <f t="shared" ca="1" si="699"/>
        <v/>
      </c>
      <c r="B860" s="614"/>
      <c r="C860" s="615"/>
      <c r="D860" s="1107"/>
      <c r="E860" s="612" t="s">
        <v>1294</v>
      </c>
      <c r="F860" s="1101"/>
      <c r="G860" s="1101"/>
      <c r="H860" s="1101"/>
      <c r="I860" s="1101"/>
      <c r="J860" s="1101"/>
      <c r="K860" s="1101"/>
      <c r="L860" s="1101"/>
      <c r="M860" s="1101"/>
      <c r="N860" s="1101"/>
      <c r="O860" s="1101"/>
      <c r="P860" s="1101"/>
      <c r="Q860" s="1097"/>
      <c r="R860" s="613"/>
      <c r="S860" s="319" t="s">
        <v>644</v>
      </c>
    </row>
    <row r="861" spans="1:19" ht="13" customHeight="1" x14ac:dyDescent="0.35">
      <c r="A861" s="609" t="str">
        <f t="shared" ca="1" si="699"/>
        <v/>
      </c>
      <c r="B861" s="614"/>
      <c r="C861" s="615"/>
      <c r="D861" s="1107"/>
      <c r="E861" s="612" t="s">
        <v>1295</v>
      </c>
      <c r="F861" s="1101"/>
      <c r="G861" s="1101"/>
      <c r="H861" s="1101"/>
      <c r="I861" s="1101"/>
      <c r="J861" s="1101"/>
      <c r="K861" s="1101"/>
      <c r="L861" s="1101"/>
      <c r="M861" s="1101"/>
      <c r="N861" s="1101"/>
      <c r="O861" s="1101"/>
      <c r="P861" s="1101"/>
      <c r="Q861" s="1097"/>
      <c r="R861" s="613"/>
      <c r="S861" s="319" t="s">
        <v>644</v>
      </c>
    </row>
    <row r="862" spans="1:19" ht="13" customHeight="1" x14ac:dyDescent="0.35">
      <c r="A862" s="609" t="str">
        <f t="shared" ca="1" si="699"/>
        <v/>
      </c>
      <c r="B862" s="614"/>
      <c r="C862" s="615"/>
      <c r="D862" s="1107"/>
      <c r="E862" s="612" t="s">
        <v>1296</v>
      </c>
      <c r="F862" s="1101"/>
      <c r="G862" s="1101"/>
      <c r="H862" s="1101"/>
      <c r="I862" s="1101"/>
      <c r="J862" s="1101"/>
      <c r="K862" s="1101"/>
      <c r="L862" s="1101"/>
      <c r="M862" s="1101"/>
      <c r="N862" s="1101"/>
      <c r="O862" s="1101"/>
      <c r="P862" s="1101"/>
      <c r="Q862" s="1097"/>
      <c r="R862" s="613"/>
      <c r="S862" s="319" t="s">
        <v>644</v>
      </c>
    </row>
    <row r="863" spans="1:19" ht="13" customHeight="1" x14ac:dyDescent="0.35">
      <c r="A863" s="609" t="str">
        <f t="shared" ca="1" si="699"/>
        <v/>
      </c>
      <c r="B863" s="614"/>
      <c r="C863" s="615"/>
      <c r="D863" s="1107"/>
      <c r="E863" s="612" t="s">
        <v>1297</v>
      </c>
      <c r="F863" s="1101"/>
      <c r="G863" s="1101"/>
      <c r="H863" s="1101"/>
      <c r="I863" s="1101"/>
      <c r="J863" s="1101"/>
      <c r="K863" s="1101"/>
      <c r="L863" s="1101"/>
      <c r="M863" s="1101"/>
      <c r="N863" s="1101"/>
      <c r="O863" s="1101"/>
      <c r="P863" s="1101"/>
      <c r="Q863" s="1097"/>
      <c r="R863" s="613"/>
      <c r="S863" s="319" t="s">
        <v>644</v>
      </c>
    </row>
    <row r="864" spans="1:19" ht="13" customHeight="1" x14ac:dyDescent="0.35">
      <c r="A864" s="609" t="str">
        <f t="shared" ca="1" si="699"/>
        <v/>
      </c>
      <c r="B864" s="614"/>
      <c r="C864" s="615"/>
      <c r="D864" s="1107"/>
      <c r="E864" s="612" t="s">
        <v>1298</v>
      </c>
      <c r="F864" s="1101"/>
      <c r="G864" s="1101"/>
      <c r="H864" s="1101"/>
      <c r="I864" s="1101"/>
      <c r="J864" s="1101"/>
      <c r="K864" s="1101"/>
      <c r="L864" s="1101"/>
      <c r="M864" s="1101"/>
      <c r="N864" s="1101"/>
      <c r="O864" s="1101"/>
      <c r="P864" s="1101"/>
      <c r="Q864" s="1097"/>
      <c r="R864" s="613"/>
      <c r="S864" s="319" t="s">
        <v>644</v>
      </c>
    </row>
    <row r="865" spans="1:19" ht="13" customHeight="1" x14ac:dyDescent="0.35">
      <c r="A865" s="609" t="str">
        <f t="shared" ca="1" si="699"/>
        <v/>
      </c>
      <c r="B865" s="614"/>
      <c r="C865" s="615"/>
      <c r="D865" s="1107"/>
      <c r="E865" s="612" t="s">
        <v>1299</v>
      </c>
      <c r="F865" s="1101"/>
      <c r="G865" s="1101"/>
      <c r="H865" s="1101"/>
      <c r="I865" s="1101"/>
      <c r="J865" s="1101"/>
      <c r="K865" s="1101"/>
      <c r="L865" s="1101"/>
      <c r="M865" s="1101"/>
      <c r="N865" s="1101"/>
      <c r="O865" s="1101"/>
      <c r="P865" s="1101"/>
      <c r="Q865" s="1097"/>
      <c r="R865" s="613"/>
      <c r="S865" s="319" t="s">
        <v>644</v>
      </c>
    </row>
    <row r="866" spans="1:19" ht="13" customHeight="1" x14ac:dyDescent="0.35">
      <c r="A866" s="609" t="str">
        <f t="shared" ca="1" si="699"/>
        <v/>
      </c>
      <c r="B866" s="614"/>
      <c r="C866" s="615"/>
      <c r="D866" s="1107"/>
      <c r="E866" s="612" t="s">
        <v>1300</v>
      </c>
      <c r="F866" s="1101"/>
      <c r="G866" s="1101"/>
      <c r="H866" s="1101"/>
      <c r="I866" s="1101"/>
      <c r="J866" s="1101"/>
      <c r="K866" s="1101"/>
      <c r="L866" s="1101"/>
      <c r="M866" s="1101"/>
      <c r="N866" s="1101"/>
      <c r="O866" s="1101"/>
      <c r="P866" s="1101"/>
      <c r="Q866" s="1097"/>
      <c r="R866" s="613"/>
      <c r="S866" s="319" t="s">
        <v>644</v>
      </c>
    </row>
    <row r="867" spans="1:19" ht="13" customHeight="1" x14ac:dyDescent="0.35">
      <c r="A867" s="609" t="str">
        <f t="shared" ca="1" si="699"/>
        <v/>
      </c>
      <c r="B867" s="614"/>
      <c r="C867" s="615"/>
      <c r="D867" s="1107"/>
      <c r="E867" s="612" t="s">
        <v>1301</v>
      </c>
      <c r="F867" s="1101"/>
      <c r="G867" s="1101"/>
      <c r="H867" s="1101"/>
      <c r="I867" s="1101"/>
      <c r="J867" s="1101"/>
      <c r="K867" s="1101"/>
      <c r="L867" s="1101"/>
      <c r="M867" s="1101"/>
      <c r="N867" s="1101"/>
      <c r="O867" s="1101"/>
      <c r="P867" s="1101"/>
      <c r="Q867" s="1097"/>
      <c r="R867" s="613"/>
      <c r="S867" s="319" t="s">
        <v>644</v>
      </c>
    </row>
    <row r="868" spans="1:19" ht="13" customHeight="1" x14ac:dyDescent="0.35">
      <c r="A868" s="609" t="str">
        <f t="shared" ca="1" si="699"/>
        <v/>
      </c>
      <c r="B868" s="614"/>
      <c r="C868" s="615"/>
      <c r="D868" s="1107"/>
      <c r="E868" s="612" t="s">
        <v>1302</v>
      </c>
      <c r="F868" s="1101"/>
      <c r="G868" s="1101"/>
      <c r="H868" s="1101"/>
      <c r="I868" s="1101"/>
      <c r="J868" s="1101"/>
      <c r="K868" s="1101"/>
      <c r="L868" s="1101"/>
      <c r="M868" s="1101"/>
      <c r="N868" s="1101"/>
      <c r="O868" s="1101"/>
      <c r="P868" s="1101"/>
      <c r="Q868" s="1097"/>
      <c r="R868" s="613"/>
      <c r="S868" s="319" t="s">
        <v>644</v>
      </c>
    </row>
    <row r="869" spans="1:19" ht="13" customHeight="1" x14ac:dyDescent="0.35">
      <c r="A869" s="609" t="str">
        <f t="shared" ca="1" si="699"/>
        <v/>
      </c>
      <c r="B869" s="614"/>
      <c r="C869" s="615"/>
      <c r="D869" s="1107"/>
      <c r="E869" s="612" t="s">
        <v>1303</v>
      </c>
      <c r="F869" s="1101"/>
      <c r="G869" s="1101"/>
      <c r="H869" s="1101"/>
      <c r="I869" s="1101"/>
      <c r="J869" s="1101"/>
      <c r="K869" s="1101"/>
      <c r="L869" s="1101"/>
      <c r="M869" s="1101"/>
      <c r="N869" s="1101"/>
      <c r="O869" s="1101"/>
      <c r="P869" s="1101"/>
      <c r="Q869" s="1097"/>
      <c r="R869" s="613"/>
      <c r="S869" s="319" t="s">
        <v>644</v>
      </c>
    </row>
    <row r="870" spans="1:19" ht="13" customHeight="1" x14ac:dyDescent="0.35">
      <c r="A870" s="609" t="str">
        <f t="shared" ca="1" si="699"/>
        <v/>
      </c>
      <c r="B870" s="614"/>
      <c r="C870" s="615"/>
      <c r="D870" s="1107"/>
      <c r="E870" s="612" t="s">
        <v>1304</v>
      </c>
      <c r="F870" s="1101"/>
      <c r="G870" s="1101"/>
      <c r="H870" s="1101"/>
      <c r="I870" s="1101"/>
      <c r="J870" s="1101"/>
      <c r="K870" s="1101"/>
      <c r="L870" s="1101"/>
      <c r="M870" s="1101"/>
      <c r="N870" s="1101"/>
      <c r="O870" s="1101"/>
      <c r="P870" s="1101"/>
      <c r="Q870" s="1097"/>
      <c r="R870" s="613"/>
      <c r="S870" s="319" t="s">
        <v>644</v>
      </c>
    </row>
    <row r="871" spans="1:19" ht="13" customHeight="1" x14ac:dyDescent="0.35">
      <c r="A871" s="609" t="str">
        <f t="shared" ca="1" si="699"/>
        <v/>
      </c>
      <c r="B871" s="614"/>
      <c r="C871" s="616"/>
      <c r="D871" s="1108"/>
      <c r="E871" s="612" t="s">
        <v>1305</v>
      </c>
      <c r="F871" s="1102"/>
      <c r="G871" s="1102"/>
      <c r="H871" s="1102"/>
      <c r="I871" s="1102"/>
      <c r="J871" s="1102"/>
      <c r="K871" s="1102"/>
      <c r="L871" s="1102"/>
      <c r="M871" s="1102"/>
      <c r="N871" s="1102"/>
      <c r="O871" s="1102"/>
      <c r="P871" s="1102"/>
      <c r="Q871" s="1098"/>
      <c r="R871" s="613"/>
      <c r="S871" s="319" t="s">
        <v>644</v>
      </c>
    </row>
    <row r="872" spans="1:19" ht="13" customHeight="1" x14ac:dyDescent="0.35">
      <c r="A872" s="609" t="str">
        <f t="shared" ca="1" si="699"/>
        <v/>
      </c>
      <c r="B872" s="614"/>
      <c r="C872" s="616"/>
      <c r="D872" s="1108"/>
      <c r="E872" s="612" t="s">
        <v>1306</v>
      </c>
      <c r="F872" s="1102"/>
      <c r="G872" s="1102"/>
      <c r="H872" s="1102"/>
      <c r="I872" s="1102"/>
      <c r="J872" s="1102"/>
      <c r="K872" s="1102"/>
      <c r="L872" s="1102"/>
      <c r="M872" s="1102"/>
      <c r="N872" s="1102"/>
      <c r="O872" s="1102"/>
      <c r="P872" s="1102"/>
      <c r="Q872" s="1098"/>
      <c r="R872" s="613"/>
      <c r="S872" s="319" t="s">
        <v>644</v>
      </c>
    </row>
    <row r="873" spans="1:19" ht="13" customHeight="1" x14ac:dyDescent="0.35">
      <c r="A873" s="609" t="str">
        <f t="shared" ca="1" si="699"/>
        <v/>
      </c>
      <c r="B873" s="614"/>
      <c r="C873" s="616"/>
      <c r="D873" s="1108"/>
      <c r="E873" s="612" t="s">
        <v>1307</v>
      </c>
      <c r="F873" s="1102"/>
      <c r="G873" s="1102"/>
      <c r="H873" s="1102"/>
      <c r="I873" s="1102"/>
      <c r="J873" s="1102"/>
      <c r="K873" s="1102"/>
      <c r="L873" s="1102"/>
      <c r="M873" s="1102"/>
      <c r="N873" s="1102"/>
      <c r="O873" s="1102"/>
      <c r="P873" s="1102"/>
      <c r="Q873" s="1098"/>
      <c r="R873" s="613"/>
      <c r="S873" s="319" t="s">
        <v>644</v>
      </c>
    </row>
    <row r="874" spans="1:19" ht="13" customHeight="1" x14ac:dyDescent="0.35">
      <c r="A874" s="609" t="str">
        <f t="shared" ca="1" si="699"/>
        <v/>
      </c>
      <c r="B874" s="614"/>
      <c r="C874" s="616"/>
      <c r="D874" s="1108"/>
      <c r="E874" s="612" t="s">
        <v>1308</v>
      </c>
      <c r="F874" s="1102"/>
      <c r="G874" s="1102"/>
      <c r="H874" s="1102"/>
      <c r="I874" s="1102"/>
      <c r="J874" s="1102"/>
      <c r="K874" s="1102"/>
      <c r="L874" s="1102"/>
      <c r="M874" s="1102"/>
      <c r="N874" s="1102"/>
      <c r="O874" s="1102"/>
      <c r="P874" s="1102"/>
      <c r="Q874" s="1098"/>
      <c r="R874" s="613"/>
      <c r="S874" s="319" t="s">
        <v>644</v>
      </c>
    </row>
    <row r="875" spans="1:19" ht="13" customHeight="1" x14ac:dyDescent="0.35">
      <c r="A875" s="609" t="str">
        <f t="shared" ca="1" si="699"/>
        <v/>
      </c>
      <c r="B875" s="614"/>
      <c r="C875" s="616"/>
      <c r="D875" s="1108"/>
      <c r="E875" s="612" t="s">
        <v>1309</v>
      </c>
      <c r="F875" s="1102"/>
      <c r="G875" s="1102"/>
      <c r="H875" s="1102"/>
      <c r="I875" s="1102"/>
      <c r="J875" s="1102"/>
      <c r="K875" s="1102"/>
      <c r="L875" s="1102"/>
      <c r="M875" s="1102"/>
      <c r="N875" s="1102"/>
      <c r="O875" s="1102"/>
      <c r="P875" s="1102"/>
      <c r="Q875" s="1098"/>
      <c r="R875" s="613"/>
      <c r="S875" s="319" t="s">
        <v>644</v>
      </c>
    </row>
    <row r="876" spans="1:19" ht="13" customHeight="1" x14ac:dyDescent="0.35">
      <c r="A876" s="609" t="str">
        <f t="shared" ca="1" si="699"/>
        <v/>
      </c>
      <c r="B876" s="614"/>
      <c r="C876" s="616"/>
      <c r="D876" s="1108"/>
      <c r="E876" s="612" t="s">
        <v>1310</v>
      </c>
      <c r="F876" s="1102"/>
      <c r="G876" s="1102"/>
      <c r="H876" s="1102"/>
      <c r="I876" s="1102"/>
      <c r="J876" s="1102"/>
      <c r="K876" s="1102"/>
      <c r="L876" s="1102"/>
      <c r="M876" s="1102"/>
      <c r="N876" s="1102"/>
      <c r="O876" s="1102"/>
      <c r="P876" s="1102"/>
      <c r="Q876" s="1098"/>
      <c r="R876" s="613"/>
      <c r="S876" s="319" t="s">
        <v>644</v>
      </c>
    </row>
    <row r="877" spans="1:19" ht="13" customHeight="1" x14ac:dyDescent="0.35">
      <c r="A877" s="609" t="str">
        <f t="shared" ca="1" si="699"/>
        <v/>
      </c>
      <c r="B877" s="614"/>
      <c r="C877" s="616"/>
      <c r="D877" s="1108"/>
      <c r="E877" s="612" t="s">
        <v>1311</v>
      </c>
      <c r="F877" s="1102"/>
      <c r="G877" s="1102"/>
      <c r="H877" s="1102"/>
      <c r="I877" s="1102"/>
      <c r="J877" s="1102"/>
      <c r="K877" s="1102"/>
      <c r="L877" s="1102"/>
      <c r="M877" s="1102"/>
      <c r="N877" s="1102"/>
      <c r="O877" s="1102"/>
      <c r="P877" s="1102"/>
      <c r="Q877" s="1098"/>
      <c r="R877" s="613"/>
      <c r="S877" s="319" t="s">
        <v>644</v>
      </c>
    </row>
    <row r="878" spans="1:19" ht="13" customHeight="1" x14ac:dyDescent="0.35">
      <c r="A878" s="609" t="str">
        <f t="shared" ca="1" si="699"/>
        <v/>
      </c>
      <c r="B878" s="614"/>
      <c r="C878" s="616"/>
      <c r="D878" s="1108"/>
      <c r="E878" s="612" t="s">
        <v>1312</v>
      </c>
      <c r="F878" s="1102"/>
      <c r="G878" s="1102"/>
      <c r="H878" s="1102"/>
      <c r="I878" s="1102"/>
      <c r="J878" s="1102"/>
      <c r="K878" s="1102"/>
      <c r="L878" s="1102"/>
      <c r="M878" s="1102"/>
      <c r="N878" s="1102"/>
      <c r="O878" s="1102"/>
      <c r="P878" s="1102"/>
      <c r="Q878" s="1098"/>
      <c r="R878" s="613"/>
      <c r="S878" s="319" t="s">
        <v>644</v>
      </c>
    </row>
    <row r="879" spans="1:19" ht="13" customHeight="1" x14ac:dyDescent="0.35">
      <c r="A879" s="609" t="str">
        <f t="shared" ca="1" si="699"/>
        <v/>
      </c>
      <c r="B879" s="614"/>
      <c r="C879" s="616"/>
      <c r="D879" s="1108"/>
      <c r="E879" s="612" t="s">
        <v>1313</v>
      </c>
      <c r="F879" s="1102"/>
      <c r="G879" s="1102"/>
      <c r="H879" s="1102"/>
      <c r="I879" s="1102"/>
      <c r="J879" s="1102"/>
      <c r="K879" s="1102"/>
      <c r="L879" s="1102"/>
      <c r="M879" s="1102"/>
      <c r="N879" s="1102"/>
      <c r="O879" s="1102"/>
      <c r="P879" s="1102"/>
      <c r="Q879" s="1098"/>
      <c r="R879" s="613"/>
      <c r="S879" s="319" t="s">
        <v>644</v>
      </c>
    </row>
    <row r="880" spans="1:19" ht="13" customHeight="1" x14ac:dyDescent="0.35">
      <c r="A880" s="609" t="str">
        <f t="shared" ca="1" si="699"/>
        <v/>
      </c>
      <c r="B880" s="614"/>
      <c r="C880" s="616"/>
      <c r="D880" s="1108"/>
      <c r="E880" s="612" t="s">
        <v>1314</v>
      </c>
      <c r="F880" s="1102"/>
      <c r="G880" s="1102"/>
      <c r="H880" s="1102"/>
      <c r="I880" s="1102"/>
      <c r="J880" s="1102"/>
      <c r="K880" s="1102"/>
      <c r="L880" s="1102"/>
      <c r="M880" s="1102"/>
      <c r="N880" s="1102"/>
      <c r="O880" s="1102"/>
      <c r="P880" s="1102"/>
      <c r="Q880" s="1098"/>
      <c r="R880" s="613"/>
      <c r="S880" s="319" t="s">
        <v>644</v>
      </c>
    </row>
    <row r="881" spans="1:19" ht="13" customHeight="1" x14ac:dyDescent="0.35">
      <c r="A881" s="609" t="str">
        <f t="shared" ca="1" si="699"/>
        <v/>
      </c>
      <c r="B881" s="614"/>
      <c r="C881" s="616"/>
      <c r="D881" s="1108"/>
      <c r="E881" s="612" t="s">
        <v>1315</v>
      </c>
      <c r="F881" s="1102"/>
      <c r="G881" s="1102"/>
      <c r="H881" s="1102"/>
      <c r="I881" s="1102"/>
      <c r="J881" s="1102"/>
      <c r="K881" s="1102"/>
      <c r="L881" s="1102"/>
      <c r="M881" s="1102"/>
      <c r="N881" s="1102"/>
      <c r="O881" s="1102"/>
      <c r="P881" s="1102"/>
      <c r="Q881" s="1098"/>
      <c r="R881" s="613"/>
      <c r="S881" s="319" t="s">
        <v>644</v>
      </c>
    </row>
    <row r="882" spans="1:19" ht="13" customHeight="1" x14ac:dyDescent="0.35">
      <c r="A882" s="609" t="str">
        <f t="shared" ca="1" si="699"/>
        <v/>
      </c>
      <c r="B882" s="614"/>
      <c r="C882" s="616"/>
      <c r="D882" s="1108"/>
      <c r="E882" s="612" t="s">
        <v>1316</v>
      </c>
      <c r="F882" s="1102"/>
      <c r="G882" s="1102"/>
      <c r="H882" s="1102"/>
      <c r="I882" s="1102"/>
      <c r="J882" s="1102"/>
      <c r="K882" s="1102"/>
      <c r="L882" s="1102"/>
      <c r="M882" s="1102"/>
      <c r="N882" s="1102"/>
      <c r="O882" s="1102"/>
      <c r="P882" s="1102"/>
      <c r="Q882" s="1098"/>
      <c r="R882" s="613"/>
      <c r="S882" s="319" t="s">
        <v>644</v>
      </c>
    </row>
    <row r="883" spans="1:19" ht="13" customHeight="1" x14ac:dyDescent="0.35">
      <c r="A883" s="609" t="str">
        <f t="shared" ca="1" si="699"/>
        <v/>
      </c>
      <c r="B883" s="614"/>
      <c r="C883" s="616"/>
      <c r="D883" s="1108"/>
      <c r="E883" s="612" t="s">
        <v>1317</v>
      </c>
      <c r="F883" s="1102"/>
      <c r="G883" s="1102"/>
      <c r="H883" s="1102"/>
      <c r="I883" s="1102"/>
      <c r="J883" s="1102"/>
      <c r="K883" s="1102"/>
      <c r="L883" s="1102"/>
      <c r="M883" s="1102"/>
      <c r="N883" s="1102"/>
      <c r="O883" s="1102"/>
      <c r="P883" s="1102"/>
      <c r="Q883" s="1098"/>
      <c r="R883" s="613"/>
      <c r="S883" s="319" t="s">
        <v>644</v>
      </c>
    </row>
    <row r="884" spans="1:19" ht="13" customHeight="1" x14ac:dyDescent="0.35">
      <c r="A884" s="609" t="str">
        <f t="shared" ca="1" si="699"/>
        <v/>
      </c>
      <c r="B884" s="614"/>
      <c r="C884" s="616"/>
      <c r="D884" s="1108"/>
      <c r="E884" s="612" t="s">
        <v>1318</v>
      </c>
      <c r="F884" s="1102"/>
      <c r="G884" s="1102"/>
      <c r="H884" s="1102"/>
      <c r="I884" s="1102"/>
      <c r="J884" s="1102"/>
      <c r="K884" s="1102"/>
      <c r="L884" s="1102"/>
      <c r="M884" s="1102"/>
      <c r="N884" s="1102"/>
      <c r="O884" s="1102"/>
      <c r="P884" s="1102"/>
      <c r="Q884" s="1098"/>
      <c r="R884" s="613"/>
      <c r="S884" s="319" t="s">
        <v>644</v>
      </c>
    </row>
    <row r="885" spans="1:19" ht="13" customHeight="1" x14ac:dyDescent="0.35">
      <c r="A885" s="609" t="str">
        <f t="shared" ca="1" si="699"/>
        <v/>
      </c>
      <c r="B885" s="614"/>
      <c r="C885" s="616"/>
      <c r="D885" s="1108"/>
      <c r="E885" s="612" t="s">
        <v>1319</v>
      </c>
      <c r="F885" s="1102"/>
      <c r="G885" s="1102"/>
      <c r="H885" s="1102"/>
      <c r="I885" s="1102"/>
      <c r="J885" s="1102"/>
      <c r="K885" s="1102"/>
      <c r="L885" s="1102"/>
      <c r="M885" s="1102"/>
      <c r="N885" s="1102"/>
      <c r="O885" s="1102"/>
      <c r="P885" s="1102"/>
      <c r="Q885" s="1098"/>
      <c r="R885" s="613"/>
      <c r="S885" s="319" t="s">
        <v>644</v>
      </c>
    </row>
    <row r="886" spans="1:19" ht="13" customHeight="1" x14ac:dyDescent="0.35">
      <c r="A886" s="609" t="str">
        <f t="shared" ca="1" si="699"/>
        <v/>
      </c>
      <c r="B886" s="614"/>
      <c r="C886" s="616"/>
      <c r="D886" s="1108"/>
      <c r="E886" s="612" t="s">
        <v>1320</v>
      </c>
      <c r="F886" s="1102"/>
      <c r="G886" s="1102"/>
      <c r="H886" s="1102"/>
      <c r="I886" s="1102"/>
      <c r="J886" s="1102"/>
      <c r="K886" s="1102"/>
      <c r="L886" s="1102"/>
      <c r="M886" s="1102"/>
      <c r="N886" s="1102"/>
      <c r="O886" s="1102"/>
      <c r="P886" s="1102"/>
      <c r="Q886" s="1098"/>
      <c r="R886" s="613"/>
      <c r="S886" s="319" t="s">
        <v>644</v>
      </c>
    </row>
    <row r="887" spans="1:19" ht="13" customHeight="1" x14ac:dyDescent="0.35">
      <c r="A887" s="609" t="str">
        <f t="shared" ca="1" si="699"/>
        <v/>
      </c>
      <c r="B887" s="614"/>
      <c r="C887" s="616"/>
      <c r="D887" s="1108"/>
      <c r="E887" s="612" t="s">
        <v>5191</v>
      </c>
      <c r="F887" s="1102"/>
      <c r="G887" s="1102"/>
      <c r="H887" s="1102"/>
      <c r="I887" s="1102"/>
      <c r="J887" s="1102"/>
      <c r="K887" s="1102"/>
      <c r="L887" s="1102"/>
      <c r="M887" s="1102"/>
      <c r="N887" s="1102"/>
      <c r="O887" s="1102"/>
      <c r="P887" s="1102"/>
      <c r="Q887" s="1098"/>
      <c r="R887" s="613"/>
      <c r="S887" s="319" t="s">
        <v>644</v>
      </c>
    </row>
    <row r="888" spans="1:19" ht="13" customHeight="1" x14ac:dyDescent="0.35">
      <c r="A888" s="609" t="str">
        <f t="shared" ca="1" si="699"/>
        <v/>
      </c>
      <c r="B888" s="614"/>
      <c r="C888" s="616"/>
      <c r="D888" s="1108"/>
      <c r="E888" s="612" t="s">
        <v>5192</v>
      </c>
      <c r="F888" s="1102"/>
      <c r="G888" s="1102"/>
      <c r="H888" s="1102"/>
      <c r="I888" s="1102"/>
      <c r="J888" s="1102"/>
      <c r="K888" s="1102"/>
      <c r="L888" s="1102"/>
      <c r="M888" s="1102"/>
      <c r="N888" s="1102"/>
      <c r="O888" s="1102"/>
      <c r="P888" s="1102"/>
      <c r="Q888" s="1098"/>
      <c r="R888" s="613"/>
      <c r="S888" s="319" t="s">
        <v>644</v>
      </c>
    </row>
    <row r="889" spans="1:19" ht="13" customHeight="1" x14ac:dyDescent="0.35">
      <c r="A889" s="609" t="str">
        <f t="shared" ca="1" si="699"/>
        <v/>
      </c>
      <c r="B889" s="614"/>
      <c r="C889" s="616"/>
      <c r="D889" s="1108"/>
      <c r="E889" s="612" t="s">
        <v>5193</v>
      </c>
      <c r="F889" s="1102"/>
      <c r="G889" s="1102"/>
      <c r="H889" s="1102"/>
      <c r="I889" s="1102"/>
      <c r="J889" s="1102"/>
      <c r="K889" s="1102"/>
      <c r="L889" s="1102"/>
      <c r="M889" s="1102"/>
      <c r="N889" s="1102"/>
      <c r="O889" s="1102"/>
      <c r="P889" s="1102"/>
      <c r="Q889" s="1098"/>
      <c r="R889" s="613"/>
      <c r="S889" s="319" t="s">
        <v>644</v>
      </c>
    </row>
    <row r="890" spans="1:19" ht="13" customHeight="1" x14ac:dyDescent="0.35">
      <c r="A890" s="609" t="str">
        <f t="shared" ca="1" si="699"/>
        <v/>
      </c>
      <c r="B890" s="614"/>
      <c r="C890" s="616"/>
      <c r="D890" s="1108"/>
      <c r="E890" s="612" t="s">
        <v>5194</v>
      </c>
      <c r="F890" s="1102"/>
      <c r="G890" s="1102"/>
      <c r="H890" s="1102"/>
      <c r="I890" s="1102"/>
      <c r="J890" s="1102"/>
      <c r="K890" s="1102"/>
      <c r="L890" s="1102"/>
      <c r="M890" s="1102"/>
      <c r="N890" s="1102"/>
      <c r="O890" s="1102"/>
      <c r="P890" s="1102"/>
      <c r="Q890" s="1098"/>
      <c r="R890" s="613"/>
      <c r="S890" s="319" t="s">
        <v>644</v>
      </c>
    </row>
    <row r="891" spans="1:19" ht="13" customHeight="1" x14ac:dyDescent="0.35">
      <c r="A891" s="609" t="str">
        <f t="shared" ca="1" si="699"/>
        <v/>
      </c>
      <c r="B891" s="614"/>
      <c r="C891" s="616"/>
      <c r="D891" s="1108"/>
      <c r="E891" s="612" t="s">
        <v>5195</v>
      </c>
      <c r="F891" s="1102"/>
      <c r="G891" s="1102"/>
      <c r="H891" s="1102"/>
      <c r="I891" s="1102"/>
      <c r="J891" s="1102"/>
      <c r="K891" s="1102"/>
      <c r="L891" s="1102"/>
      <c r="M891" s="1102"/>
      <c r="N891" s="1102"/>
      <c r="O891" s="1102"/>
      <c r="P891" s="1102"/>
      <c r="Q891" s="1098"/>
      <c r="R891" s="613"/>
      <c r="S891" s="319" t="s">
        <v>644</v>
      </c>
    </row>
    <row r="892" spans="1:19" ht="13" customHeight="1" x14ac:dyDescent="0.35">
      <c r="A892" s="609" t="str">
        <f t="shared" ca="1" si="699"/>
        <v/>
      </c>
      <c r="B892" s="614"/>
      <c r="C892" s="616"/>
      <c r="D892" s="1108"/>
      <c r="E892" s="612" t="s">
        <v>5196</v>
      </c>
      <c r="F892" s="1102"/>
      <c r="G892" s="1102"/>
      <c r="H892" s="1102"/>
      <c r="I892" s="1102"/>
      <c r="J892" s="1102"/>
      <c r="K892" s="1102"/>
      <c r="L892" s="1102"/>
      <c r="M892" s="1102"/>
      <c r="N892" s="1102"/>
      <c r="O892" s="1102"/>
      <c r="P892" s="1102"/>
      <c r="Q892" s="1098"/>
      <c r="R892" s="613"/>
      <c r="S892" s="319" t="s">
        <v>644</v>
      </c>
    </row>
    <row r="893" spans="1:19" ht="13" customHeight="1" x14ac:dyDescent="0.35">
      <c r="A893" s="609" t="str">
        <f t="shared" ca="1" si="699"/>
        <v/>
      </c>
      <c r="B893" s="614"/>
      <c r="C893" s="616"/>
      <c r="D893" s="1108"/>
      <c r="E893" s="612" t="s">
        <v>5197</v>
      </c>
      <c r="F893" s="1102"/>
      <c r="G893" s="1102"/>
      <c r="H893" s="1102"/>
      <c r="I893" s="1102"/>
      <c r="J893" s="1102"/>
      <c r="K893" s="1102"/>
      <c r="L893" s="1102"/>
      <c r="M893" s="1102"/>
      <c r="N893" s="1102"/>
      <c r="O893" s="1102"/>
      <c r="P893" s="1102"/>
      <c r="Q893" s="1098"/>
      <c r="R893" s="613"/>
      <c r="S893" s="319" t="s">
        <v>644</v>
      </c>
    </row>
    <row r="894" spans="1:19" ht="13" customHeight="1" x14ac:dyDescent="0.35">
      <c r="A894" s="609" t="str">
        <f t="shared" ca="1" si="699"/>
        <v/>
      </c>
      <c r="B894" s="614"/>
      <c r="C894" s="616"/>
      <c r="D894" s="1108"/>
      <c r="E894" s="612" t="s">
        <v>5198</v>
      </c>
      <c r="F894" s="1102"/>
      <c r="G894" s="1102"/>
      <c r="H894" s="1102"/>
      <c r="I894" s="1102"/>
      <c r="J894" s="1102"/>
      <c r="K894" s="1102"/>
      <c r="L894" s="1102"/>
      <c r="M894" s="1102"/>
      <c r="N894" s="1102"/>
      <c r="O894" s="1102"/>
      <c r="P894" s="1102"/>
      <c r="Q894" s="1098"/>
      <c r="R894" s="613"/>
      <c r="S894" s="319" t="s">
        <v>644</v>
      </c>
    </row>
    <row r="895" spans="1:19" ht="13" customHeight="1" x14ac:dyDescent="0.35">
      <c r="A895" s="609" t="str">
        <f t="shared" ca="1" si="699"/>
        <v/>
      </c>
      <c r="B895" s="614"/>
      <c r="C895" s="616"/>
      <c r="D895" s="1108"/>
      <c r="E895" s="612" t="s">
        <v>5199</v>
      </c>
      <c r="F895" s="1102"/>
      <c r="G895" s="1102"/>
      <c r="H895" s="1102"/>
      <c r="I895" s="1102"/>
      <c r="J895" s="1102"/>
      <c r="K895" s="1102"/>
      <c r="L895" s="1102"/>
      <c r="M895" s="1102"/>
      <c r="N895" s="1102"/>
      <c r="O895" s="1102"/>
      <c r="P895" s="1102"/>
      <c r="Q895" s="1098"/>
      <c r="R895" s="613"/>
      <c r="S895" s="319" t="s">
        <v>644</v>
      </c>
    </row>
    <row r="896" spans="1:19" ht="13" customHeight="1" x14ac:dyDescent="0.35">
      <c r="A896" s="609" t="str">
        <f t="shared" ca="1" si="699"/>
        <v/>
      </c>
      <c r="B896" s="614"/>
      <c r="C896" s="616"/>
      <c r="D896" s="1108"/>
      <c r="E896" s="612" t="s">
        <v>5200</v>
      </c>
      <c r="F896" s="1102"/>
      <c r="G896" s="1102"/>
      <c r="H896" s="1102"/>
      <c r="I896" s="1102"/>
      <c r="J896" s="1102"/>
      <c r="K896" s="1102"/>
      <c r="L896" s="1102"/>
      <c r="M896" s="1102"/>
      <c r="N896" s="1102"/>
      <c r="O896" s="1102"/>
      <c r="P896" s="1102"/>
      <c r="Q896" s="1098"/>
      <c r="R896" s="613"/>
      <c r="S896" s="319" t="s">
        <v>644</v>
      </c>
    </row>
    <row r="897" spans="1:20" ht="13" customHeight="1" x14ac:dyDescent="0.35">
      <c r="A897" s="609" t="str">
        <f t="shared" ca="1" si="699"/>
        <v/>
      </c>
      <c r="B897" s="614"/>
      <c r="C897" s="616"/>
      <c r="D897" s="1108"/>
      <c r="E897" s="612" t="s">
        <v>5201</v>
      </c>
      <c r="F897" s="1102"/>
      <c r="G897" s="1102"/>
      <c r="H897" s="1102"/>
      <c r="I897" s="1102"/>
      <c r="J897" s="1102"/>
      <c r="K897" s="1102"/>
      <c r="L897" s="1102"/>
      <c r="M897" s="1102"/>
      <c r="N897" s="1102"/>
      <c r="O897" s="1102"/>
      <c r="P897" s="1102"/>
      <c r="Q897" s="1098"/>
      <c r="R897" s="613"/>
      <c r="S897" s="319" t="s">
        <v>644</v>
      </c>
    </row>
    <row r="898" spans="1:20" ht="13" customHeight="1" x14ac:dyDescent="0.35">
      <c r="A898" s="609" t="str">
        <f t="shared" ca="1" si="699"/>
        <v/>
      </c>
      <c r="B898" s="614"/>
      <c r="C898" s="616"/>
      <c r="D898" s="1108"/>
      <c r="E898" s="612" t="s">
        <v>5202</v>
      </c>
      <c r="F898" s="1102"/>
      <c r="G898" s="1102"/>
      <c r="H898" s="1102"/>
      <c r="I898" s="1102"/>
      <c r="J898" s="1102"/>
      <c r="K898" s="1102"/>
      <c r="L898" s="1102"/>
      <c r="M898" s="1102"/>
      <c r="N898" s="1102"/>
      <c r="O898" s="1102"/>
      <c r="P898" s="1102"/>
      <c r="Q898" s="1098"/>
      <c r="R898" s="613"/>
      <c r="S898" s="319" t="s">
        <v>644</v>
      </c>
    </row>
    <row r="899" spans="1:20" ht="13" customHeight="1" x14ac:dyDescent="0.35">
      <c r="A899" s="609" t="str">
        <f t="shared" ca="1" si="699"/>
        <v/>
      </c>
      <c r="B899" s="614"/>
      <c r="C899" s="616"/>
      <c r="D899" s="1108"/>
      <c r="E899" s="612" t="s">
        <v>5203</v>
      </c>
      <c r="F899" s="1102"/>
      <c r="G899" s="1102"/>
      <c r="H899" s="1102"/>
      <c r="I899" s="1102"/>
      <c r="J899" s="1102"/>
      <c r="K899" s="1102"/>
      <c r="L899" s="1102"/>
      <c r="M899" s="1102"/>
      <c r="N899" s="1102"/>
      <c r="O899" s="1102"/>
      <c r="P899" s="1102"/>
      <c r="Q899" s="1098"/>
      <c r="R899" s="613"/>
      <c r="S899" s="319" t="s">
        <v>644</v>
      </c>
    </row>
    <row r="900" spans="1:20" ht="13" customHeight="1" x14ac:dyDescent="0.35">
      <c r="A900" s="609" t="str">
        <f t="shared" ca="1" si="699"/>
        <v/>
      </c>
      <c r="B900" s="614"/>
      <c r="C900" s="616"/>
      <c r="D900" s="1108"/>
      <c r="E900" s="612" t="s">
        <v>5204</v>
      </c>
      <c r="F900" s="1102"/>
      <c r="G900" s="1102"/>
      <c r="H900" s="1102"/>
      <c r="I900" s="1102"/>
      <c r="J900" s="1102"/>
      <c r="K900" s="1102"/>
      <c r="L900" s="1102"/>
      <c r="M900" s="1102"/>
      <c r="N900" s="1102"/>
      <c r="O900" s="1102"/>
      <c r="P900" s="1102"/>
      <c r="Q900" s="1098"/>
      <c r="R900" s="613"/>
      <c r="S900" s="319" t="s">
        <v>644</v>
      </c>
    </row>
    <row r="901" spans="1:20" ht="13" customHeight="1" x14ac:dyDescent="0.35">
      <c r="A901" s="609" t="str">
        <f t="shared" ca="1" si="699"/>
        <v/>
      </c>
      <c r="B901" s="614"/>
      <c r="C901" s="616"/>
      <c r="D901" s="1108"/>
      <c r="E901" s="612" t="s">
        <v>5205</v>
      </c>
      <c r="F901" s="1102"/>
      <c r="G901" s="1102"/>
      <c r="H901" s="1102"/>
      <c r="I901" s="1102"/>
      <c r="J901" s="1102"/>
      <c r="K901" s="1102"/>
      <c r="L901" s="1102"/>
      <c r="M901" s="1102"/>
      <c r="N901" s="1102"/>
      <c r="O901" s="1102"/>
      <c r="P901" s="1102"/>
      <c r="Q901" s="1098"/>
      <c r="R901" s="613"/>
      <c r="S901" s="319" t="s">
        <v>644</v>
      </c>
    </row>
    <row r="902" spans="1:20" ht="13" customHeight="1" x14ac:dyDescent="0.35">
      <c r="A902" s="609" t="str">
        <f t="shared" ca="1" si="699"/>
        <v/>
      </c>
      <c r="B902" s="614"/>
      <c r="C902" s="616"/>
      <c r="D902" s="1108"/>
      <c r="E902" s="612" t="s">
        <v>5206</v>
      </c>
      <c r="F902" s="1102"/>
      <c r="G902" s="1102"/>
      <c r="H902" s="1102"/>
      <c r="I902" s="1102"/>
      <c r="J902" s="1102"/>
      <c r="K902" s="1102"/>
      <c r="L902" s="1102"/>
      <c r="M902" s="1102"/>
      <c r="N902" s="1102"/>
      <c r="O902" s="1102"/>
      <c r="P902" s="1102"/>
      <c r="Q902" s="1098"/>
      <c r="R902" s="613"/>
      <c r="S902" s="319" t="s">
        <v>644</v>
      </c>
    </row>
    <row r="903" spans="1:20" ht="13" customHeight="1" x14ac:dyDescent="0.35">
      <c r="A903" s="609" t="str">
        <f t="shared" ca="1" si="699"/>
        <v/>
      </c>
      <c r="B903" s="614"/>
      <c r="C903" s="616"/>
      <c r="D903" s="1108"/>
      <c r="E903" s="612" t="s">
        <v>5207</v>
      </c>
      <c r="F903" s="1102"/>
      <c r="G903" s="1102"/>
      <c r="H903" s="1102"/>
      <c r="I903" s="1102"/>
      <c r="J903" s="1102"/>
      <c r="K903" s="1102"/>
      <c r="L903" s="1102"/>
      <c r="M903" s="1102"/>
      <c r="N903" s="1102"/>
      <c r="O903" s="1102"/>
      <c r="P903" s="1102"/>
      <c r="Q903" s="1098"/>
      <c r="R903" s="613"/>
      <c r="S903" s="319" t="s">
        <v>644</v>
      </c>
    </row>
    <row r="904" spans="1:20" ht="13" customHeight="1" x14ac:dyDescent="0.35">
      <c r="A904" s="609" t="str">
        <f t="shared" ca="1" si="699"/>
        <v/>
      </c>
      <c r="B904" s="614"/>
      <c r="C904" s="616"/>
      <c r="D904" s="1108"/>
      <c r="E904" s="612" t="s">
        <v>5208</v>
      </c>
      <c r="F904" s="1102"/>
      <c r="G904" s="1102"/>
      <c r="H904" s="1102"/>
      <c r="I904" s="1102"/>
      <c r="J904" s="1102"/>
      <c r="K904" s="1102"/>
      <c r="L904" s="1102"/>
      <c r="M904" s="1102"/>
      <c r="N904" s="1102"/>
      <c r="O904" s="1102"/>
      <c r="P904" s="1102"/>
      <c r="Q904" s="1098"/>
      <c r="R904" s="613"/>
      <c r="S904" s="319" t="s">
        <v>644</v>
      </c>
    </row>
    <row r="905" spans="1:20" ht="13" customHeight="1" x14ac:dyDescent="0.35">
      <c r="A905" s="609" t="str">
        <f t="shared" ca="1" si="699"/>
        <v/>
      </c>
      <c r="B905" s="614"/>
      <c r="C905" s="616"/>
      <c r="D905" s="1108"/>
      <c r="E905" s="612" t="s">
        <v>5209</v>
      </c>
      <c r="F905" s="1102"/>
      <c r="G905" s="1102"/>
      <c r="H905" s="1102"/>
      <c r="I905" s="1102"/>
      <c r="J905" s="1102"/>
      <c r="K905" s="1102"/>
      <c r="L905" s="1102"/>
      <c r="M905" s="1102"/>
      <c r="N905" s="1102"/>
      <c r="O905" s="1102"/>
      <c r="P905" s="1102"/>
      <c r="Q905" s="1098"/>
      <c r="R905" s="613"/>
      <c r="S905" s="319" t="s">
        <v>644</v>
      </c>
    </row>
    <row r="906" spans="1:20" ht="13" customHeight="1" x14ac:dyDescent="0.35">
      <c r="A906" s="609" t="str">
        <f t="shared" ca="1" si="699"/>
        <v/>
      </c>
      <c r="B906" s="614"/>
      <c r="C906" s="616"/>
      <c r="D906" s="1108"/>
      <c r="E906" s="612" t="s">
        <v>5210</v>
      </c>
      <c r="F906" s="1102"/>
      <c r="G906" s="1102"/>
      <c r="H906" s="1102"/>
      <c r="I906" s="1102"/>
      <c r="J906" s="1102"/>
      <c r="K906" s="1102"/>
      <c r="L906" s="1102"/>
      <c r="M906" s="1102"/>
      <c r="N906" s="1102"/>
      <c r="O906" s="1102"/>
      <c r="P906" s="1102"/>
      <c r="Q906" s="1098"/>
      <c r="R906" s="613"/>
      <c r="S906" s="319" t="s">
        <v>644</v>
      </c>
    </row>
    <row r="907" spans="1:20" ht="13" customHeight="1" x14ac:dyDescent="0.35">
      <c r="A907" s="609" t="str">
        <f t="shared" ca="1" si="699"/>
        <v/>
      </c>
      <c r="B907" s="617"/>
      <c r="C907" s="618"/>
      <c r="D907" s="1109"/>
      <c r="E907" s="305" t="s">
        <v>1321</v>
      </c>
      <c r="F907" s="1103"/>
      <c r="G907" s="1103"/>
      <c r="H907" s="1103"/>
      <c r="I907" s="1103"/>
      <c r="J907" s="1103"/>
      <c r="K907" s="1103"/>
      <c r="L907" s="1103"/>
      <c r="M907" s="1103"/>
      <c r="N907" s="1103"/>
      <c r="O907" s="1103"/>
      <c r="P907" s="1103"/>
      <c r="Q907" s="1099"/>
      <c r="R907" s="613"/>
      <c r="S907" s="319" t="s">
        <v>644</v>
      </c>
    </row>
    <row r="908" spans="1:20" ht="4" customHeight="1" x14ac:dyDescent="0.35">
      <c r="A908" s="235"/>
      <c r="B908" s="619"/>
      <c r="C908" s="503"/>
      <c r="D908" s="503"/>
      <c r="E908" s="503" t="s">
        <v>39</v>
      </c>
      <c r="F908" s="503"/>
      <c r="G908" s="503"/>
      <c r="H908" s="503"/>
      <c r="I908" s="503"/>
      <c r="J908" s="503"/>
      <c r="K908" s="503"/>
      <c r="L908" s="503"/>
      <c r="M908" s="503"/>
      <c r="N908" s="503"/>
      <c r="O908" s="503"/>
      <c r="P908" s="503"/>
      <c r="Q908" s="503"/>
      <c r="R908" s="538"/>
      <c r="S908" s="319" t="s">
        <v>66</v>
      </c>
    </row>
    <row r="909" spans="1:20" ht="11.25" hidden="1" customHeight="1" x14ac:dyDescent="0.35">
      <c r="A909" s="319"/>
      <c r="B909" s="1358" t="s">
        <v>1322</v>
      </c>
      <c r="C909" s="1358"/>
      <c r="D909" s="1358"/>
      <c r="E909" s="1358" t="s">
        <v>1323</v>
      </c>
      <c r="F909" s="1359"/>
      <c r="G909" s="1359">
        <f ca="1">G525+G526+(G527-OFFSET($E$508,0,G$8))</f>
        <v>0</v>
      </c>
      <c r="H909" s="1359">
        <f t="shared" ref="H909:Q909" ca="1" si="700">H525+H526+(H527-OFFSET($E$508,0,H$8))</f>
        <v>0</v>
      </c>
      <c r="I909" s="1359">
        <f t="shared" ca="1" si="700"/>
        <v>0</v>
      </c>
      <c r="J909" s="1359">
        <f t="shared" ca="1" si="700"/>
        <v>0</v>
      </c>
      <c r="K909" s="1359">
        <f t="shared" ca="1" si="700"/>
        <v>0</v>
      </c>
      <c r="L909" s="1359">
        <f t="shared" ca="1" si="700"/>
        <v>0</v>
      </c>
      <c r="M909" s="1359">
        <f t="shared" ref="M909:N909" ca="1" si="701">M525+M526+(M527-OFFSET($E$508,0,M$8))</f>
        <v>0</v>
      </c>
      <c r="N909" s="1359">
        <f t="shared" ca="1" si="701"/>
        <v>0</v>
      </c>
      <c r="O909" s="1359">
        <f t="shared" ref="O909:P909" ca="1" si="702">O525+O526+(O527-OFFSET($E$508,0,O$8))</f>
        <v>0</v>
      </c>
      <c r="P909" s="1359">
        <f t="shared" ca="1" si="702"/>
        <v>0</v>
      </c>
      <c r="Q909" s="1359">
        <f t="shared" ca="1" si="700"/>
        <v>0</v>
      </c>
      <c r="R909" s="1360"/>
      <c r="S909" s="1358" t="s">
        <v>785</v>
      </c>
      <c r="T909" s="1361"/>
    </row>
    <row r="910" spans="1:20" ht="11.25" hidden="1" customHeight="1" x14ac:dyDescent="0.35">
      <c r="A910" s="319"/>
      <c r="B910" s="1358" t="s">
        <v>1324</v>
      </c>
      <c r="C910" s="1358"/>
      <c r="D910" s="1358"/>
      <c r="E910" s="1358" t="s">
        <v>1325</v>
      </c>
      <c r="F910" s="1359"/>
      <c r="G910" s="1359">
        <f t="shared" ref="G910:Q910" ca="1" si="703">G909+OFFSET(G910,0,-1)</f>
        <v>0</v>
      </c>
      <c r="H910" s="1359">
        <f t="shared" ca="1" si="703"/>
        <v>0</v>
      </c>
      <c r="I910" s="1359">
        <f t="shared" ca="1" si="703"/>
        <v>0</v>
      </c>
      <c r="J910" s="1359">
        <f t="shared" ca="1" si="703"/>
        <v>0</v>
      </c>
      <c r="K910" s="1359">
        <f t="shared" ca="1" si="703"/>
        <v>0</v>
      </c>
      <c r="L910" s="1359">
        <f t="shared" ca="1" si="703"/>
        <v>0</v>
      </c>
      <c r="M910" s="1359">
        <f t="shared" ref="M910:N910" ca="1" si="704">M909+OFFSET(M910,0,-1)</f>
        <v>0</v>
      </c>
      <c r="N910" s="1359">
        <f t="shared" ca="1" si="704"/>
        <v>0</v>
      </c>
      <c r="O910" s="1359">
        <f t="shared" ref="O910:P910" ca="1" si="705">O909+OFFSET(O910,0,-1)</f>
        <v>0</v>
      </c>
      <c r="P910" s="1359">
        <f t="shared" ca="1" si="705"/>
        <v>0</v>
      </c>
      <c r="Q910" s="1359">
        <f t="shared" ca="1" si="703"/>
        <v>0</v>
      </c>
      <c r="R910" s="1360"/>
      <c r="S910" s="1358" t="s">
        <v>785</v>
      </c>
      <c r="T910" s="1361"/>
    </row>
    <row r="911" spans="1:20" ht="11.25" hidden="1" customHeight="1" x14ac:dyDescent="0.35">
      <c r="A911" s="319"/>
      <c r="B911" s="1358" t="s">
        <v>642</v>
      </c>
      <c r="C911" s="1358"/>
      <c r="D911" s="1358" t="s">
        <v>1326</v>
      </c>
      <c r="E911" s="1358" t="s">
        <v>1327</v>
      </c>
      <c r="F911" s="1362"/>
      <c r="G911" s="1359">
        <f t="shared" ref="G911:Q911" ca="1" si="706">IF(NOT(IFRSSheetInUse),0,IF(OR(AND(G$5=0,NoZeroCol=1),AND(G$5=-99,NoResCol=1)),0,+OFFSET(G$21,-2,0)+OFFSET(G$31,-2,0)+OFFSET(G$41,-2,0)+OFFSET(G$51,-2,0)+OFFSET(G$61,-2,0)+OFFSET(G$71,-2,0)+OFFSET(G$81,-2,0)+OFFSET(G$91,-2,0)+OFFSET(G$101,-2,0)+OFFSET(G$111,-2,0)+OFFSET(G$121,-2,0)+OFFSET(G$131,-2,0)+OFFSET(G$141,-2,0)+OFFSET(G$151,-2,0)+OFFSET(G$161,-2,0)+OFFSET(G$171,-2,0)+OFFSET(G$181,-2,0)+OFFSET(G$191,-2,0)+OFFSET(G$201,-2,0)+OFFSET(G$211,-2,0)+OFFSET(G$221,-2,0)+OFFSET(G$231,-2,0)+OFFSET(G$241,-2,0)+OFFSET(G$251,-2,0)+OFFSET(G$261,-2,0)+OFFSET(G$271,-2,0)+OFFSET(G$281,-2,0)+OFFSET(G$291,-2,0)+OFFSET(G$301,-2,0)+OFFSET(G$311,-2,0)-G$912-G$913-G$914))</f>
        <v>0</v>
      </c>
      <c r="H911" s="1359">
        <f t="shared" ca="1" si="706"/>
        <v>0</v>
      </c>
      <c r="I911" s="1359">
        <f t="shared" ca="1" si="706"/>
        <v>0</v>
      </c>
      <c r="J911" s="1359">
        <f t="shared" ca="1" si="706"/>
        <v>0</v>
      </c>
      <c r="K911" s="1359">
        <f t="shared" ca="1" si="706"/>
        <v>0</v>
      </c>
      <c r="L911" s="1359">
        <f t="shared" ca="1" si="706"/>
        <v>0</v>
      </c>
      <c r="M911" s="1359">
        <f t="shared" ca="1" si="706"/>
        <v>0</v>
      </c>
      <c r="N911" s="1359">
        <f t="shared" ca="1" si="706"/>
        <v>0</v>
      </c>
      <c r="O911" s="1359">
        <f t="shared" ca="1" si="706"/>
        <v>0</v>
      </c>
      <c r="P911" s="1359">
        <f t="shared" ca="1" si="706"/>
        <v>0</v>
      </c>
      <c r="Q911" s="1359">
        <f t="shared" ca="1" si="706"/>
        <v>0</v>
      </c>
      <c r="R911" s="1360"/>
      <c r="S911" s="1358" t="s">
        <v>40</v>
      </c>
      <c r="T911" s="1361"/>
    </row>
    <row r="912" spans="1:20" ht="11.25" hidden="1" customHeight="1" x14ac:dyDescent="0.35">
      <c r="A912" s="319"/>
      <c r="B912" s="1358" t="s">
        <v>645</v>
      </c>
      <c r="C912" s="1358"/>
      <c r="D912" s="1358"/>
      <c r="E912" s="1358" t="s">
        <v>1328</v>
      </c>
      <c r="F912" s="1362"/>
      <c r="G912" s="1359">
        <f t="shared" ref="G912:Q912" si="707">IF(NOT(IFRSSheetInUse),0,IF(OR(AND(G$5=0,NoZeroCol=1),AND(G$5=-99,NoResCol=1)),0,+G$22+G$32+G$42+G$52+G$62+G$72+G$82+G$92+G$102+G$112+G$122+G$132+G$142+G$152+G$162+G$172+G$182+G$192+G$202+G$212+G$222+G$232+G$242+G$252+G$262+G$272+G$282+G$292+G$302+G$312-G$913-G$914))</f>
        <v>0</v>
      </c>
      <c r="H912" s="1359">
        <f t="shared" si="707"/>
        <v>0</v>
      </c>
      <c r="I912" s="1359">
        <f t="shared" si="707"/>
        <v>0</v>
      </c>
      <c r="J912" s="1359">
        <f t="shared" si="707"/>
        <v>0</v>
      </c>
      <c r="K912" s="1359">
        <f t="shared" si="707"/>
        <v>0</v>
      </c>
      <c r="L912" s="1359">
        <f t="shared" si="707"/>
        <v>0</v>
      </c>
      <c r="M912" s="1359">
        <f t="shared" si="707"/>
        <v>0</v>
      </c>
      <c r="N912" s="1359">
        <f t="shared" si="707"/>
        <v>0</v>
      </c>
      <c r="O912" s="1359">
        <f t="shared" si="707"/>
        <v>0</v>
      </c>
      <c r="P912" s="1359">
        <f t="shared" si="707"/>
        <v>0</v>
      </c>
      <c r="Q912" s="1359">
        <f t="shared" si="707"/>
        <v>0</v>
      </c>
      <c r="R912" s="1360"/>
      <c r="S912" s="1358" t="s">
        <v>40</v>
      </c>
      <c r="T912" s="1361"/>
    </row>
    <row r="913" spans="1:20" ht="11.25" hidden="1" customHeight="1" x14ac:dyDescent="0.35">
      <c r="A913" s="319"/>
      <c r="B913" s="1358" t="s">
        <v>1329</v>
      </c>
      <c r="C913" s="1358"/>
      <c r="D913" s="1358"/>
      <c r="E913" s="1358" t="s">
        <v>1330</v>
      </c>
      <c r="F913" s="1362"/>
      <c r="G913" s="1359">
        <f t="shared" ref="G913:Q913" si="708">IF(NOT(IFRSSheetInUse),0,IF(OR(AND(G$5=0,NoZeroCol=1),AND(G$5=-99,NoResCol=1)),0,+MAX(0,G$23)+MAX(0,G$33)+MAX(0,G$43)+MAX(0,G$53)+MAX(0,G$63)+MAX(0,G$73)+MAX(0,G$83)+MAX(0,G$93)+MAX(0,G$103)+MAX(0,G$113)+MAX(0,G$123)+MAX(0,G$133)+MAX(0,G$143)+MAX(0,G$153)+MAX(0,G$163)+MAX(0,G$173)+MAX(0,G$183)+MAX(0,G$193)+MAX(0,G$203)+MAX(0,G$213)+MAX(0,G$223)+MAX(0,G$233)+MAX(0,G$243)+MAX(0,G$253)+MAX(0,G$263)+MAX(0,G$273)+MAX(0,G$283)+MAX(0,G$293)+MAX(0,G$303)+MAX(0,G$313)))</f>
        <v>0</v>
      </c>
      <c r="H913" s="1359">
        <f t="shared" si="708"/>
        <v>0</v>
      </c>
      <c r="I913" s="1359">
        <f t="shared" si="708"/>
        <v>0</v>
      </c>
      <c r="J913" s="1359">
        <f t="shared" si="708"/>
        <v>0</v>
      </c>
      <c r="K913" s="1359">
        <f t="shared" si="708"/>
        <v>0</v>
      </c>
      <c r="L913" s="1359">
        <f t="shared" si="708"/>
        <v>0</v>
      </c>
      <c r="M913" s="1359">
        <f t="shared" si="708"/>
        <v>0</v>
      </c>
      <c r="N913" s="1359">
        <f t="shared" si="708"/>
        <v>0</v>
      </c>
      <c r="O913" s="1359">
        <f t="shared" si="708"/>
        <v>0</v>
      </c>
      <c r="P913" s="1359">
        <f t="shared" si="708"/>
        <v>0</v>
      </c>
      <c r="Q913" s="1359">
        <f t="shared" si="708"/>
        <v>0</v>
      </c>
      <c r="R913" s="1360"/>
      <c r="S913" s="1358" t="s">
        <v>40</v>
      </c>
      <c r="T913" s="1361"/>
    </row>
    <row r="914" spans="1:20" ht="11.25" hidden="1" customHeight="1" x14ac:dyDescent="0.35">
      <c r="A914" s="319"/>
      <c r="B914" s="1358" t="s">
        <v>1331</v>
      </c>
      <c r="C914" s="1358"/>
      <c r="D914" s="1358"/>
      <c r="E914" s="1358" t="s">
        <v>1332</v>
      </c>
      <c r="F914" s="1362"/>
      <c r="G914" s="1359">
        <f t="shared" ref="G914:Q914" si="709">IF(NOT(IFRSSheetInUse),0,IF(OR(AND(G$5=0,NoZeroCol=1),AND(G$5=-99,NoResCol=1)),0,+MIN(0,G$23)+MIN(0,G$33)+MIN(0,G$43)+MIN(0,G$53)+MIN(0,G$63)+MIN(0,G$73)+MIN(0,G$83)+MIN(0,G$93)+MIN(0,G$103)+MIN(0,G$113)+MIN(0,G$123)+MIN(0,G$133)+MIN(0,G$143)+MIN(0,G$153)+MIN(0,G$163)+MIN(0,G$173)+MIN(0,G$183)+MIN(0,G$193)+MIN(0,G$203)+MIN(0,G$213)+MIN(0,G$223)+MIN(0,G$233)+MIN(0,G$243)+MIN(0,G$253)+MIN(0,G$263)+MIN(0,G$273)+MIN(0,G$283)+MIN(0,G$293)+MIN(0,G$303)+MIN(0,G$313)))</f>
        <v>0</v>
      </c>
      <c r="H914" s="1359">
        <f t="shared" si="709"/>
        <v>0</v>
      </c>
      <c r="I914" s="1359">
        <f t="shared" si="709"/>
        <v>0</v>
      </c>
      <c r="J914" s="1359">
        <f t="shared" si="709"/>
        <v>0</v>
      </c>
      <c r="K914" s="1359">
        <f t="shared" si="709"/>
        <v>0</v>
      </c>
      <c r="L914" s="1359">
        <f t="shared" si="709"/>
        <v>0</v>
      </c>
      <c r="M914" s="1359">
        <f t="shared" si="709"/>
        <v>0</v>
      </c>
      <c r="N914" s="1359">
        <f t="shared" si="709"/>
        <v>0</v>
      </c>
      <c r="O914" s="1359">
        <f t="shared" si="709"/>
        <v>0</v>
      </c>
      <c r="P914" s="1359">
        <f t="shared" si="709"/>
        <v>0</v>
      </c>
      <c r="Q914" s="1359">
        <f t="shared" si="709"/>
        <v>0</v>
      </c>
      <c r="R914" s="1360"/>
      <c r="S914" s="1358" t="s">
        <v>40</v>
      </c>
      <c r="T914" s="1361"/>
    </row>
    <row r="915" spans="1:20" ht="11.25" hidden="1" customHeight="1" x14ac:dyDescent="0.35">
      <c r="A915" s="319"/>
      <c r="B915" s="1358" t="s">
        <v>647</v>
      </c>
      <c r="C915" s="1358"/>
      <c r="D915" s="1358"/>
      <c r="E915" s="1358" t="s">
        <v>1333</v>
      </c>
      <c r="F915" s="1362"/>
      <c r="G915" s="1359">
        <f t="shared" ref="G915:Q915" ca="1" si="710">IF(NOT(IFRSSheetInUse),0,IF(OR(AND(G$5=0,NoZeroCol=1),AND(G$5=-99,NoResCol=1)),0,+OFFSET(G$21,-1,0)+OFFSET(G$31,-1,0)+OFFSET(G$41,-1,0)+OFFSET(G$51,-1,0)+OFFSET(G$61,-1,0)+OFFSET(G$71,-1,0)+OFFSET(G$81,-1,0)+OFFSET(G$91,-1,0)+OFFSET(G$101,-1,0)+OFFSET(G$111,-1,0)+OFFSET(G$121,-1,0)+OFFSET(G$131,-1,0)+OFFSET(G$141,-1,0)+OFFSET(G$151,-1,0)+OFFSET(G$161,-1,0)+OFFSET(G$171,-1,0)+OFFSET(G$181,-1,0)+OFFSET(G$191,-1,0)+OFFSET(G$201,-1,0)+OFFSET(G$211,-1,0)+OFFSET(G$221,-1,0)+OFFSET(G$231,-1,0)+OFFSET(G$241,-1,0)+OFFSET(G$251,-1,0)+OFFSET(G$261,-1,0)+OFFSET(G$271,-1,0)+OFFSET(G$281,-1,0)+OFFSET(G$291,-1,0)+OFFSET(G$301,-1,0)+OFFSET(G$311,-1,0)))</f>
        <v>0</v>
      </c>
      <c r="H915" s="1359">
        <f t="shared" ca="1" si="710"/>
        <v>0</v>
      </c>
      <c r="I915" s="1359">
        <f t="shared" ca="1" si="710"/>
        <v>0</v>
      </c>
      <c r="J915" s="1359">
        <f t="shared" ca="1" si="710"/>
        <v>0</v>
      </c>
      <c r="K915" s="1359">
        <f t="shared" ca="1" si="710"/>
        <v>0</v>
      </c>
      <c r="L915" s="1359">
        <f t="shared" ca="1" si="710"/>
        <v>0</v>
      </c>
      <c r="M915" s="1359">
        <f t="shared" ca="1" si="710"/>
        <v>0</v>
      </c>
      <c r="N915" s="1359">
        <f t="shared" ca="1" si="710"/>
        <v>0</v>
      </c>
      <c r="O915" s="1359">
        <f t="shared" ca="1" si="710"/>
        <v>0</v>
      </c>
      <c r="P915" s="1359">
        <f t="shared" ca="1" si="710"/>
        <v>0</v>
      </c>
      <c r="Q915" s="1359">
        <f t="shared" ca="1" si="710"/>
        <v>0</v>
      </c>
      <c r="R915" s="1360"/>
      <c r="S915" s="1358" t="s">
        <v>40</v>
      </c>
      <c r="T915" s="1361"/>
    </row>
    <row r="916" spans="1:20" ht="11.25" hidden="1" customHeight="1" x14ac:dyDescent="0.35">
      <c r="A916" s="319"/>
      <c r="B916" s="1358" t="s">
        <v>642</v>
      </c>
      <c r="C916" s="1358"/>
      <c r="D916" s="1358" t="s">
        <v>1334</v>
      </c>
      <c r="E916" s="1358" t="s">
        <v>1335</v>
      </c>
      <c r="F916" s="1362"/>
      <c r="G916" s="1359"/>
      <c r="H916" s="1359"/>
      <c r="I916" s="1359"/>
      <c r="J916" s="1359"/>
      <c r="K916" s="1359"/>
      <c r="L916" s="1359"/>
      <c r="M916" s="1359"/>
      <c r="N916" s="1359"/>
      <c r="O916" s="1359"/>
      <c r="P916" s="1359"/>
      <c r="Q916" s="1359"/>
      <c r="R916" s="1360"/>
      <c r="S916" s="1358" t="s">
        <v>1336</v>
      </c>
      <c r="T916" s="1361"/>
    </row>
    <row r="917" spans="1:20" ht="11.25" hidden="1" customHeight="1" x14ac:dyDescent="0.35">
      <c r="A917" s="319"/>
      <c r="B917" s="1358" t="s">
        <v>645</v>
      </c>
      <c r="C917" s="1358"/>
      <c r="D917" s="1358"/>
      <c r="E917" s="1358" t="s">
        <v>1337</v>
      </c>
      <c r="F917" s="1362"/>
      <c r="G917" s="1359"/>
      <c r="H917" s="1359"/>
      <c r="I917" s="1359"/>
      <c r="J917" s="1359"/>
      <c r="K917" s="1359"/>
      <c r="L917" s="1359"/>
      <c r="M917" s="1359"/>
      <c r="N917" s="1359"/>
      <c r="O917" s="1359"/>
      <c r="P917" s="1359"/>
      <c r="Q917" s="1359"/>
      <c r="R917" s="1360"/>
      <c r="S917" s="1358" t="s">
        <v>1336</v>
      </c>
      <c r="T917" s="1361"/>
    </row>
    <row r="918" spans="1:20" ht="11.25" hidden="1" customHeight="1" x14ac:dyDescent="0.35">
      <c r="A918" s="319"/>
      <c r="B918" s="1358" t="s">
        <v>1329</v>
      </c>
      <c r="C918" s="1358"/>
      <c r="D918" s="1358"/>
      <c r="E918" s="1358" t="s">
        <v>1338</v>
      </c>
      <c r="F918" s="1362"/>
      <c r="G918" s="1359"/>
      <c r="H918" s="1359"/>
      <c r="I918" s="1359"/>
      <c r="J918" s="1359"/>
      <c r="K918" s="1359"/>
      <c r="L918" s="1359"/>
      <c r="M918" s="1359"/>
      <c r="N918" s="1359"/>
      <c r="O918" s="1359"/>
      <c r="P918" s="1359"/>
      <c r="Q918" s="1359"/>
      <c r="R918" s="1360"/>
      <c r="S918" s="1358" t="s">
        <v>1336</v>
      </c>
      <c r="T918" s="1361"/>
    </row>
    <row r="919" spans="1:20" ht="11.25" hidden="1" customHeight="1" x14ac:dyDescent="0.35">
      <c r="A919" s="319"/>
      <c r="B919" s="1358" t="s">
        <v>1331</v>
      </c>
      <c r="C919" s="1358"/>
      <c r="D919" s="1358"/>
      <c r="E919" s="1358" t="s">
        <v>1339</v>
      </c>
      <c r="F919" s="1362"/>
      <c r="G919" s="1359"/>
      <c r="H919" s="1359"/>
      <c r="I919" s="1359"/>
      <c r="J919" s="1359"/>
      <c r="K919" s="1359"/>
      <c r="L919" s="1359"/>
      <c r="M919" s="1359"/>
      <c r="N919" s="1359"/>
      <c r="O919" s="1359"/>
      <c r="P919" s="1359"/>
      <c r="Q919" s="1359"/>
      <c r="R919" s="1360"/>
      <c r="S919" s="1358" t="s">
        <v>1336</v>
      </c>
      <c r="T919" s="1361"/>
    </row>
    <row r="920" spans="1:20" ht="11.25" hidden="1" customHeight="1" x14ac:dyDescent="0.35">
      <c r="A920" s="319"/>
      <c r="B920" s="1358" t="s">
        <v>647</v>
      </c>
      <c r="C920" s="1358"/>
      <c r="D920" s="1358"/>
      <c r="E920" s="1358" t="s">
        <v>1340</v>
      </c>
      <c r="F920" s="1362"/>
      <c r="G920" s="1359"/>
      <c r="H920" s="1359"/>
      <c r="I920" s="1359"/>
      <c r="J920" s="1359"/>
      <c r="K920" s="1359"/>
      <c r="L920" s="1359"/>
      <c r="M920" s="1359"/>
      <c r="N920" s="1359"/>
      <c r="O920" s="1359"/>
      <c r="P920" s="1359"/>
      <c r="Q920" s="1359"/>
      <c r="R920" s="1360"/>
      <c r="S920" s="1358" t="s">
        <v>1336</v>
      </c>
      <c r="T920" s="1361"/>
    </row>
    <row r="921" spans="1:20" ht="11.25" hidden="1" customHeight="1" x14ac:dyDescent="0.35">
      <c r="A921" s="319"/>
      <c r="B921" s="1358" t="s">
        <v>642</v>
      </c>
      <c r="C921" s="1358"/>
      <c r="D921" s="1358" t="s">
        <v>1341</v>
      </c>
      <c r="E921" s="1358" t="s">
        <v>1342</v>
      </c>
      <c r="F921" s="1362"/>
      <c r="G921" s="1359"/>
      <c r="H921" s="1359"/>
      <c r="I921" s="1359"/>
      <c r="J921" s="1359"/>
      <c r="K921" s="1359"/>
      <c r="L921" s="1359"/>
      <c r="M921" s="1359"/>
      <c r="N921" s="1359"/>
      <c r="O921" s="1359"/>
      <c r="P921" s="1359"/>
      <c r="Q921" s="1359"/>
      <c r="R921" s="1360"/>
      <c r="S921" s="1358" t="s">
        <v>700</v>
      </c>
      <c r="T921" s="1361"/>
    </row>
    <row r="922" spans="1:20" ht="11.25" hidden="1" customHeight="1" x14ac:dyDescent="0.35">
      <c r="A922" s="319"/>
      <c r="B922" s="1358" t="s">
        <v>645</v>
      </c>
      <c r="C922" s="1358"/>
      <c r="D922" s="1358"/>
      <c r="E922" s="1358" t="s">
        <v>1343</v>
      </c>
      <c r="F922" s="1362"/>
      <c r="G922" s="1359"/>
      <c r="H922" s="1359"/>
      <c r="I922" s="1359"/>
      <c r="J922" s="1359"/>
      <c r="K922" s="1359"/>
      <c r="L922" s="1359"/>
      <c r="M922" s="1359"/>
      <c r="N922" s="1359"/>
      <c r="O922" s="1359"/>
      <c r="P922" s="1359"/>
      <c r="Q922" s="1359"/>
      <c r="R922" s="1360"/>
      <c r="S922" s="1358" t="s">
        <v>700</v>
      </c>
      <c r="T922" s="1361"/>
    </row>
    <row r="923" spans="1:20" ht="11.25" hidden="1" customHeight="1" x14ac:dyDescent="0.35">
      <c r="A923" s="319"/>
      <c r="B923" s="1358" t="s">
        <v>1329</v>
      </c>
      <c r="C923" s="1358"/>
      <c r="D923" s="1358"/>
      <c r="E923" s="1358" t="s">
        <v>1344</v>
      </c>
      <c r="F923" s="1362"/>
      <c r="G923" s="1359"/>
      <c r="H923" s="1359"/>
      <c r="I923" s="1359"/>
      <c r="J923" s="1359"/>
      <c r="K923" s="1359"/>
      <c r="L923" s="1359"/>
      <c r="M923" s="1359"/>
      <c r="N923" s="1359"/>
      <c r="O923" s="1359"/>
      <c r="P923" s="1359"/>
      <c r="Q923" s="1359"/>
      <c r="R923" s="1360"/>
      <c r="S923" s="1358" t="s">
        <v>700</v>
      </c>
      <c r="T923" s="1361"/>
    </row>
    <row r="924" spans="1:20" ht="11.25" hidden="1" customHeight="1" x14ac:dyDescent="0.35">
      <c r="A924" s="319"/>
      <c r="B924" s="1358" t="s">
        <v>1331</v>
      </c>
      <c r="C924" s="1358"/>
      <c r="D924" s="1358"/>
      <c r="E924" s="1358" t="s">
        <v>1345</v>
      </c>
      <c r="F924" s="1362"/>
      <c r="G924" s="1359"/>
      <c r="H924" s="1359"/>
      <c r="I924" s="1359"/>
      <c r="J924" s="1359"/>
      <c r="K924" s="1359"/>
      <c r="L924" s="1359"/>
      <c r="M924" s="1359"/>
      <c r="N924" s="1359"/>
      <c r="O924" s="1359"/>
      <c r="P924" s="1359"/>
      <c r="Q924" s="1359"/>
      <c r="R924" s="1360"/>
      <c r="S924" s="1358" t="s">
        <v>700</v>
      </c>
      <c r="T924" s="1361"/>
    </row>
    <row r="925" spans="1:20" ht="11.25" hidden="1" customHeight="1" x14ac:dyDescent="0.35">
      <c r="A925" s="319"/>
      <c r="B925" s="1358" t="s">
        <v>647</v>
      </c>
      <c r="C925" s="1358"/>
      <c r="D925" s="1358"/>
      <c r="E925" s="1358" t="s">
        <v>1346</v>
      </c>
      <c r="F925" s="1362"/>
      <c r="G925" s="1359"/>
      <c r="H925" s="1359"/>
      <c r="I925" s="1359"/>
      <c r="J925" s="1359"/>
      <c r="K925" s="1359"/>
      <c r="L925" s="1359"/>
      <c r="M925" s="1359"/>
      <c r="N925" s="1359"/>
      <c r="O925" s="1359"/>
      <c r="P925" s="1359"/>
      <c r="Q925" s="1359"/>
      <c r="R925" s="1360"/>
      <c r="S925" s="1358" t="s">
        <v>700</v>
      </c>
      <c r="T925" s="1361"/>
    </row>
    <row r="926" spans="1:20" ht="11.25" hidden="1" customHeight="1" x14ac:dyDescent="0.35">
      <c r="A926" s="319"/>
      <c r="B926" s="1358" t="s">
        <v>642</v>
      </c>
      <c r="C926" s="1358"/>
      <c r="D926" s="1358" t="s">
        <v>1347</v>
      </c>
      <c r="E926" s="1358" t="s">
        <v>1348</v>
      </c>
      <c r="F926" s="1362"/>
      <c r="G926" s="1359"/>
      <c r="H926" s="1359"/>
      <c r="I926" s="1359"/>
      <c r="J926" s="1359"/>
      <c r="K926" s="1359"/>
      <c r="L926" s="1359"/>
      <c r="M926" s="1359"/>
      <c r="N926" s="1359"/>
      <c r="O926" s="1359"/>
      <c r="P926" s="1359"/>
      <c r="Q926" s="1359"/>
      <c r="R926" s="1360"/>
      <c r="S926" s="1358" t="s">
        <v>1349</v>
      </c>
      <c r="T926" s="1361"/>
    </row>
    <row r="927" spans="1:20" ht="11.25" hidden="1" customHeight="1" x14ac:dyDescent="0.35">
      <c r="A927" s="319"/>
      <c r="B927" s="1358" t="s">
        <v>645</v>
      </c>
      <c r="C927" s="1358"/>
      <c r="D927" s="1358"/>
      <c r="E927" s="1358" t="s">
        <v>1350</v>
      </c>
      <c r="F927" s="1362"/>
      <c r="G927" s="1359"/>
      <c r="H927" s="1359"/>
      <c r="I927" s="1359"/>
      <c r="J927" s="1359"/>
      <c r="K927" s="1359"/>
      <c r="L927" s="1359"/>
      <c r="M927" s="1359"/>
      <c r="N927" s="1359"/>
      <c r="O927" s="1359"/>
      <c r="P927" s="1359"/>
      <c r="Q927" s="1359"/>
      <c r="R927" s="1360"/>
      <c r="S927" s="1358" t="s">
        <v>1349</v>
      </c>
      <c r="T927" s="1361"/>
    </row>
    <row r="928" spans="1:20" ht="11.25" hidden="1" customHeight="1" x14ac:dyDescent="0.35">
      <c r="A928" s="319"/>
      <c r="B928" s="1358" t="s">
        <v>1329</v>
      </c>
      <c r="C928" s="1358"/>
      <c r="D928" s="1358"/>
      <c r="E928" s="1358" t="s">
        <v>1351</v>
      </c>
      <c r="F928" s="1362"/>
      <c r="G928" s="1359"/>
      <c r="H928" s="1359"/>
      <c r="I928" s="1359"/>
      <c r="J928" s="1359"/>
      <c r="K928" s="1359"/>
      <c r="L928" s="1359"/>
      <c r="M928" s="1359"/>
      <c r="N928" s="1359"/>
      <c r="O928" s="1359"/>
      <c r="P928" s="1359"/>
      <c r="Q928" s="1359"/>
      <c r="R928" s="1360"/>
      <c r="S928" s="1358" t="s">
        <v>1349</v>
      </c>
      <c r="T928" s="1361"/>
    </row>
    <row r="929" spans="1:20" ht="11.25" hidden="1" customHeight="1" x14ac:dyDescent="0.35">
      <c r="A929" s="319"/>
      <c r="B929" s="1358" t="s">
        <v>1331</v>
      </c>
      <c r="C929" s="1358"/>
      <c r="D929" s="1358"/>
      <c r="E929" s="1358" t="s">
        <v>1352</v>
      </c>
      <c r="F929" s="1362"/>
      <c r="G929" s="1359"/>
      <c r="H929" s="1359"/>
      <c r="I929" s="1359"/>
      <c r="J929" s="1359"/>
      <c r="K929" s="1359"/>
      <c r="L929" s="1359"/>
      <c r="M929" s="1359"/>
      <c r="N929" s="1359"/>
      <c r="O929" s="1359"/>
      <c r="P929" s="1359"/>
      <c r="Q929" s="1359"/>
      <c r="R929" s="1360"/>
      <c r="S929" s="1358" t="s">
        <v>1349</v>
      </c>
      <c r="T929" s="1361"/>
    </row>
    <row r="930" spans="1:20" ht="11.25" hidden="1" customHeight="1" x14ac:dyDescent="0.35">
      <c r="A930" s="319"/>
      <c r="B930" s="1358" t="s">
        <v>647</v>
      </c>
      <c r="C930" s="1358"/>
      <c r="D930" s="1358"/>
      <c r="E930" s="1358" t="s">
        <v>1353</v>
      </c>
      <c r="F930" s="1362"/>
      <c r="G930" s="1359"/>
      <c r="H930" s="1359"/>
      <c r="I930" s="1359"/>
      <c r="J930" s="1359"/>
      <c r="K930" s="1359"/>
      <c r="L930" s="1359"/>
      <c r="M930" s="1359"/>
      <c r="N930" s="1359"/>
      <c r="O930" s="1359"/>
      <c r="P930" s="1359"/>
      <c r="Q930" s="1359"/>
      <c r="R930" s="1360"/>
      <c r="S930" s="1358" t="s">
        <v>1349</v>
      </c>
      <c r="T930" s="1361"/>
    </row>
    <row r="931" spans="1:20" ht="11.25" hidden="1" customHeight="1" x14ac:dyDescent="0.35">
      <c r="A931" s="319"/>
      <c r="B931" s="1358" t="s">
        <v>1354</v>
      </c>
      <c r="C931" s="1358"/>
      <c r="D931" s="1358"/>
      <c r="E931" s="1358" t="s">
        <v>1355</v>
      </c>
      <c r="F931" s="1362"/>
      <c r="G931" s="1359">
        <f ca="1">IF(InvOrAcq=2,SUM($G$525:G$527)-SUM(OFFSET($E$508,0,$G$8):OFFSET($E$508,0,G$8))-G831,0)</f>
        <v>0</v>
      </c>
      <c r="H931" s="1359">
        <f ca="1">IF(InvOrAcq=2,SUM($G$525:H$527)-SUM(OFFSET($E$508,0,$G$8):OFFSET($E$508,0,H$8))-H831,0)</f>
        <v>0</v>
      </c>
      <c r="I931" s="1359">
        <f ca="1">IF(InvOrAcq=2,SUM($G$525:I$527)-SUM(OFFSET($E$508,0,$G$8):OFFSET($E$508,0,I$8))-I831,0)</f>
        <v>0</v>
      </c>
      <c r="J931" s="1359">
        <f ca="1">IF(InvOrAcq=2,SUM($G$525:J$527)-SUM(OFFSET($E$508,0,$G$8):OFFSET($E$508,0,J$8))-J831,0)</f>
        <v>0</v>
      </c>
      <c r="K931" s="1359">
        <f ca="1">IF(InvOrAcq=2,SUM($G$525:K$527)-SUM(OFFSET($E$508,0,$G$8):OFFSET($E$508,0,K$8))-K831,0)</f>
        <v>0</v>
      </c>
      <c r="L931" s="1359">
        <f ca="1">IF(InvOrAcq=2,SUM($G$525:L$527)-SUM(OFFSET($E$508,0,$G$8):OFFSET($E$508,0,L$8))-L831,0)</f>
        <v>0</v>
      </c>
      <c r="M931" s="1359">
        <f ca="1">IF(InvOrAcq=2,SUM($G$525:M$527)-SUM(OFFSET($E$508,0,$G$8):OFFSET($E$508,0,M$8))-M831,0)</f>
        <v>0</v>
      </c>
      <c r="N931" s="1359">
        <f ca="1">IF(InvOrAcq=2,SUM($G$525:N$527)-SUM(OFFSET($E$508,0,$G$8):OFFSET($E$508,0,N$8))-N831,0)</f>
        <v>0</v>
      </c>
      <c r="O931" s="1359">
        <f ca="1">IF(InvOrAcq=2,SUM($G$525:O$527)-SUM(OFFSET($E$508,0,$G$8):OFFSET($E$508,0,O$8))-O831,0)</f>
        <v>0</v>
      </c>
      <c r="P931" s="1359">
        <f ca="1">IF(InvOrAcq=2,SUM($G$525:P$527)-SUM(OFFSET($E$508,0,$G$8):OFFSET($E$508,0,P$8))-P831,0)</f>
        <v>0</v>
      </c>
      <c r="Q931" s="1359">
        <f ca="1">IF(InvOrAcq=2,SUM($G$525:Q$527)-SUM(OFFSET($E$508,0,$G$8):OFFSET($E$508,0,Q$8))-Q831,0)</f>
        <v>0</v>
      </c>
      <c r="R931" s="1360"/>
      <c r="S931" s="1358" t="s">
        <v>1349</v>
      </c>
      <c r="T931" s="1361"/>
    </row>
    <row r="932" spans="1:20" ht="11.25" hidden="1" customHeight="1" x14ac:dyDescent="0.35">
      <c r="A932" s="319"/>
      <c r="B932" s="1358" t="s">
        <v>1356</v>
      </c>
      <c r="C932" s="1358"/>
      <c r="D932" s="1358"/>
      <c r="E932" s="1358" t="s">
        <v>1357</v>
      </c>
      <c r="F932" s="1362"/>
      <c r="G932" s="1359">
        <f ca="1">IF(InvOrAcq=2,OFFSET($E$429,0,G$8)-IF(SUM(OFFSET($E$337,0,$G$8):OFFSET($E$337,0,G$8))&gt;=50,(SUM(OFFSET($E$337,0,$G$8):OFFSET($E$337,0,G$8))/100)*G$800,0),0)</f>
        <v>0</v>
      </c>
      <c r="H932" s="1359">
        <f ca="1">IF(InvOrAcq=2,OFFSET($E$429,0,H$8)-IF(SUM(OFFSET($E$337,0,$G$8):OFFSET($E$337,0,H$8))&gt;=50,(SUM(OFFSET($E$337,0,$G$8):OFFSET($E$337,0,H$8))/100)*H$800,0),0)</f>
        <v>0</v>
      </c>
      <c r="I932" s="1359">
        <f ca="1">IF(InvOrAcq=2,OFFSET($E$429,0,I$8)-IF(SUM(OFFSET($E$337,0,$G$8):OFFSET($E$337,0,I$8))&gt;=50,(SUM(OFFSET($E$337,0,$G$8):OFFSET($E$337,0,I$8))/100)*I$800,0),0)</f>
        <v>0</v>
      </c>
      <c r="J932" s="1359">
        <f ca="1">IF(InvOrAcq=2,OFFSET($E$429,0,J$8)-IF(SUM(OFFSET($E$337,0,$G$8):OFFSET($E$337,0,J$8))&gt;=50,(SUM(OFFSET($E$337,0,$G$8):OFFSET($E$337,0,J$8))/100)*J$800,0),0)</f>
        <v>0</v>
      </c>
      <c r="K932" s="1359">
        <f ca="1">IF(InvOrAcq=2,OFFSET($E$429,0,K$8)-IF(SUM(OFFSET($E$337,0,$G$8):OFFSET($E$337,0,K$8))&gt;=50,(SUM(OFFSET($E$337,0,$G$8):OFFSET($E$337,0,K$8))/100)*K$800,0),0)</f>
        <v>0</v>
      </c>
      <c r="L932" s="1359">
        <f ca="1">IF(InvOrAcq=2,OFFSET($E$429,0,L$8)-IF(SUM(OFFSET($E$337,0,$G$8):OFFSET($E$337,0,L$8))&gt;=50,(SUM(OFFSET($E$337,0,$G$8):OFFSET($E$337,0,L$8))/100)*L$800,0),0)</f>
        <v>0</v>
      </c>
      <c r="M932" s="1359">
        <f ca="1">IF(InvOrAcq=2,OFFSET($E$429,0,M$8)-IF(SUM(OFFSET($E$337,0,$G$8):OFFSET($E$337,0,M$8))&gt;=50,(SUM(OFFSET($E$337,0,$G$8):OFFSET($E$337,0,M$8))/100)*M$800,0),0)</f>
        <v>0</v>
      </c>
      <c r="N932" s="1359">
        <f ca="1">IF(InvOrAcq=2,OFFSET($E$429,0,N$8)-IF(SUM(OFFSET($E$337,0,$G$8):OFFSET($E$337,0,N$8))&gt;=50,(SUM(OFFSET($E$337,0,$G$8):OFFSET($E$337,0,N$8))/100)*N$800,0),0)</f>
        <v>0</v>
      </c>
      <c r="O932" s="1359">
        <f ca="1">IF(InvOrAcq=2,OFFSET($E$429,0,O$8)-IF(SUM(OFFSET($E$337,0,$G$8):OFFSET($E$337,0,O$8))&gt;=50,(SUM(OFFSET($E$337,0,$G$8):OFFSET($E$337,0,O$8))/100)*O$800,0),0)</f>
        <v>0</v>
      </c>
      <c r="P932" s="1359">
        <f ca="1">IF(InvOrAcq=2,OFFSET($E$429,0,P$8)-IF(SUM(OFFSET($E$337,0,$G$8):OFFSET($E$337,0,P$8))&gt;=50,(SUM(OFFSET($E$337,0,$G$8):OFFSET($E$337,0,P$8))/100)*P$800,0),0)</f>
        <v>0</v>
      </c>
      <c r="Q932" s="1359">
        <f ca="1">IF(InvOrAcq=2,OFFSET($E$429,0,Q$8)-IF(SUM(OFFSET($E$337,0,$G$8):OFFSET($E$337,0,Q$8))&gt;=50,(SUM(OFFSET($E$337,0,$G$8):OFFSET($E$337,0,Q$8))/100)*Q$800,0),0)</f>
        <v>0</v>
      </c>
      <c r="R932" s="1360"/>
      <c r="S932" s="1358" t="s">
        <v>1349</v>
      </c>
      <c r="T932" s="1361"/>
    </row>
    <row r="933" spans="1:20" ht="11.25" hidden="1" customHeight="1" x14ac:dyDescent="0.35">
      <c r="A933" s="1363"/>
      <c r="B933" s="1358"/>
      <c r="C933" s="1358" t="s">
        <v>1358</v>
      </c>
      <c r="D933" s="1358" t="s">
        <v>1359</v>
      </c>
      <c r="E933" s="1358" t="s">
        <v>1360</v>
      </c>
      <c r="F933" s="1362"/>
      <c r="G933" s="1359"/>
      <c r="H933" s="1359"/>
      <c r="I933" s="1359"/>
      <c r="J933" s="1359"/>
      <c r="K933" s="1359"/>
      <c r="L933" s="1359"/>
      <c r="M933" s="1359"/>
      <c r="N933" s="1359"/>
      <c r="O933" s="1359"/>
      <c r="P933" s="1359"/>
      <c r="Q933" s="1359"/>
      <c r="R933" s="1360"/>
      <c r="S933" s="1358" t="s">
        <v>40</v>
      </c>
      <c r="T933" s="1361"/>
    </row>
    <row r="934" spans="1:20" ht="11.25" hidden="1" customHeight="1" x14ac:dyDescent="0.35">
      <c r="A934" s="1363"/>
      <c r="B934" s="1358"/>
      <c r="C934" s="1358"/>
      <c r="D934" s="1358"/>
      <c r="E934" s="1358" t="s">
        <v>1361</v>
      </c>
      <c r="F934" s="1362"/>
      <c r="G934" s="1359"/>
      <c r="H934" s="1359"/>
      <c r="I934" s="1359"/>
      <c r="J934" s="1359"/>
      <c r="K934" s="1359"/>
      <c r="L934" s="1359"/>
      <c r="M934" s="1359"/>
      <c r="N934" s="1359"/>
      <c r="O934" s="1359"/>
      <c r="P934" s="1359"/>
      <c r="Q934" s="1359"/>
      <c r="R934" s="1360"/>
      <c r="S934" s="1358" t="s">
        <v>40</v>
      </c>
      <c r="T934" s="1361"/>
    </row>
    <row r="935" spans="1:20" ht="11.25" hidden="1" customHeight="1" x14ac:dyDescent="0.35">
      <c r="A935" s="1363"/>
      <c r="B935" s="1358"/>
      <c r="C935" s="1358"/>
      <c r="D935" s="1358"/>
      <c r="E935" s="1358" t="s">
        <v>1362</v>
      </c>
      <c r="F935" s="1362"/>
      <c r="G935" s="1359"/>
      <c r="H935" s="1359"/>
      <c r="I935" s="1359"/>
      <c r="J935" s="1359"/>
      <c r="K935" s="1359"/>
      <c r="L935" s="1359"/>
      <c r="M935" s="1359"/>
      <c r="N935" s="1359"/>
      <c r="O935" s="1359"/>
      <c r="P935" s="1359"/>
      <c r="Q935" s="1359"/>
      <c r="R935" s="1360"/>
      <c r="S935" s="1358" t="s">
        <v>40</v>
      </c>
      <c r="T935" s="1361"/>
    </row>
    <row r="936" spans="1:20" ht="11.25" hidden="1" customHeight="1" x14ac:dyDescent="0.35">
      <c r="A936" s="1363"/>
      <c r="B936" s="1358"/>
      <c r="C936" s="1358"/>
      <c r="D936" s="1358"/>
      <c r="E936" s="1358" t="s">
        <v>1363</v>
      </c>
      <c r="F936" s="1362"/>
      <c r="G936" s="1359"/>
      <c r="H936" s="1359"/>
      <c r="I936" s="1359"/>
      <c r="J936" s="1359"/>
      <c r="K936" s="1359"/>
      <c r="L936" s="1359"/>
      <c r="M936" s="1359"/>
      <c r="N936" s="1359"/>
      <c r="O936" s="1359"/>
      <c r="P936" s="1359"/>
      <c r="Q936" s="1359"/>
      <c r="R936" s="1360"/>
      <c r="S936" s="1358" t="s">
        <v>40</v>
      </c>
      <c r="T936" s="1361"/>
    </row>
    <row r="937" spans="1:20" ht="11.25" hidden="1" customHeight="1" x14ac:dyDescent="0.35">
      <c r="A937" s="1363"/>
      <c r="B937" s="1358"/>
      <c r="C937" s="1358"/>
      <c r="D937" s="1358"/>
      <c r="E937" s="1358" t="s">
        <v>1364</v>
      </c>
      <c r="F937" s="1362"/>
      <c r="G937" s="1359"/>
      <c r="H937" s="1359"/>
      <c r="I937" s="1359"/>
      <c r="J937" s="1359"/>
      <c r="K937" s="1359"/>
      <c r="L937" s="1359"/>
      <c r="M937" s="1359"/>
      <c r="N937" s="1359"/>
      <c r="O937" s="1359"/>
      <c r="P937" s="1359"/>
      <c r="Q937" s="1359"/>
      <c r="R937" s="1360"/>
      <c r="S937" s="1358" t="s">
        <v>40</v>
      </c>
      <c r="T937" s="1361"/>
    </row>
    <row r="938" spans="1:20" ht="11.25" hidden="1" customHeight="1" x14ac:dyDescent="0.35">
      <c r="A938" s="1363"/>
      <c r="B938" s="1358"/>
      <c r="C938" s="1358"/>
      <c r="D938" s="1358"/>
      <c r="E938" s="1358" t="s">
        <v>1365</v>
      </c>
      <c r="F938" s="1362"/>
      <c r="G938" s="1359"/>
      <c r="H938" s="1359"/>
      <c r="I938" s="1359"/>
      <c r="J938" s="1359"/>
      <c r="K938" s="1359"/>
      <c r="L938" s="1359"/>
      <c r="M938" s="1359"/>
      <c r="N938" s="1359"/>
      <c r="O938" s="1359"/>
      <c r="P938" s="1359"/>
      <c r="Q938" s="1359"/>
      <c r="R938" s="1360"/>
      <c r="S938" s="1358" t="s">
        <v>40</v>
      </c>
      <c r="T938" s="1361"/>
    </row>
    <row r="939" spans="1:20" ht="11.25" hidden="1" customHeight="1" x14ac:dyDescent="0.35">
      <c r="A939" s="1363"/>
      <c r="B939" s="1358"/>
      <c r="C939" s="1358"/>
      <c r="D939" s="1358"/>
      <c r="E939" s="1358" t="s">
        <v>1366</v>
      </c>
      <c r="F939" s="1362"/>
      <c r="G939" s="1359"/>
      <c r="H939" s="1359"/>
      <c r="I939" s="1359"/>
      <c r="J939" s="1359"/>
      <c r="K939" s="1359"/>
      <c r="L939" s="1359"/>
      <c r="M939" s="1359"/>
      <c r="N939" s="1359"/>
      <c r="O939" s="1359"/>
      <c r="P939" s="1359"/>
      <c r="Q939" s="1359"/>
      <c r="R939" s="1360"/>
      <c r="S939" s="1358" t="s">
        <v>40</v>
      </c>
      <c r="T939" s="1361"/>
    </row>
    <row r="940" spans="1:20" ht="11.25" hidden="1" customHeight="1" x14ac:dyDescent="0.35">
      <c r="A940" s="1363"/>
      <c r="B940" s="1358"/>
      <c r="C940" s="1358"/>
      <c r="D940" s="1358"/>
      <c r="E940" s="1358" t="s">
        <v>1367</v>
      </c>
      <c r="F940" s="1362"/>
      <c r="G940" s="1359"/>
      <c r="H940" s="1359"/>
      <c r="I940" s="1359"/>
      <c r="J940" s="1359"/>
      <c r="K940" s="1359"/>
      <c r="L940" s="1359"/>
      <c r="M940" s="1359"/>
      <c r="N940" s="1359"/>
      <c r="O940" s="1359"/>
      <c r="P940" s="1359"/>
      <c r="Q940" s="1359"/>
      <c r="R940" s="1360"/>
      <c r="S940" s="1358" t="s">
        <v>40</v>
      </c>
      <c r="T940" s="1361"/>
    </row>
    <row r="941" spans="1:20" ht="11.25" hidden="1" customHeight="1" x14ac:dyDescent="0.35">
      <c r="A941" s="1363"/>
      <c r="B941" s="1358"/>
      <c r="C941" s="1358"/>
      <c r="D941" s="1358"/>
      <c r="E941" s="1358" t="s">
        <v>1368</v>
      </c>
      <c r="F941" s="1362"/>
      <c r="G941" s="1359"/>
      <c r="H941" s="1359"/>
      <c r="I941" s="1359"/>
      <c r="J941" s="1359"/>
      <c r="K941" s="1359"/>
      <c r="L941" s="1359"/>
      <c r="M941" s="1359"/>
      <c r="N941" s="1359"/>
      <c r="O941" s="1359"/>
      <c r="P941" s="1359"/>
      <c r="Q941" s="1359"/>
      <c r="R941" s="1360"/>
      <c r="S941" s="1358" t="s">
        <v>40</v>
      </c>
      <c r="T941" s="1361"/>
    </row>
    <row r="942" spans="1:20" ht="11.25" hidden="1" customHeight="1" x14ac:dyDescent="0.35">
      <c r="A942" s="1363"/>
      <c r="B942" s="1358"/>
      <c r="C942" s="1358"/>
      <c r="D942" s="1358"/>
      <c r="E942" s="1358" t="s">
        <v>1369</v>
      </c>
      <c r="F942" s="1362"/>
      <c r="G942" s="1359"/>
      <c r="H942" s="1359"/>
      <c r="I942" s="1359"/>
      <c r="J942" s="1359"/>
      <c r="K942" s="1359"/>
      <c r="L942" s="1359"/>
      <c r="M942" s="1359"/>
      <c r="N942" s="1359"/>
      <c r="O942" s="1359"/>
      <c r="P942" s="1359"/>
      <c r="Q942" s="1359"/>
      <c r="R942" s="1360"/>
      <c r="S942" s="1358" t="s">
        <v>40</v>
      </c>
      <c r="T942" s="1361"/>
    </row>
    <row r="943" spans="1:20" ht="11.25" hidden="1" customHeight="1" x14ac:dyDescent="0.35">
      <c r="A943" s="1363"/>
      <c r="B943" s="1358"/>
      <c r="C943" s="1358"/>
      <c r="D943" s="1358"/>
      <c r="E943" s="1358" t="s">
        <v>1370</v>
      </c>
      <c r="F943" s="1362"/>
      <c r="G943" s="1359"/>
      <c r="H943" s="1359"/>
      <c r="I943" s="1359"/>
      <c r="J943" s="1359"/>
      <c r="K943" s="1359"/>
      <c r="L943" s="1359"/>
      <c r="M943" s="1359"/>
      <c r="N943" s="1359"/>
      <c r="O943" s="1359"/>
      <c r="P943" s="1359"/>
      <c r="Q943" s="1359"/>
      <c r="R943" s="1360"/>
      <c r="S943" s="1358" t="s">
        <v>40</v>
      </c>
      <c r="T943" s="1361"/>
    </row>
    <row r="944" spans="1:20" ht="11.25" hidden="1" customHeight="1" x14ac:dyDescent="0.35">
      <c r="A944" s="1363"/>
      <c r="B944" s="1358"/>
      <c r="C944" s="1358"/>
      <c r="D944" s="1358"/>
      <c r="E944" s="1358" t="s">
        <v>1371</v>
      </c>
      <c r="F944" s="1362"/>
      <c r="G944" s="1359"/>
      <c r="H944" s="1359"/>
      <c r="I944" s="1359"/>
      <c r="J944" s="1359"/>
      <c r="K944" s="1359"/>
      <c r="L944" s="1359"/>
      <c r="M944" s="1359"/>
      <c r="N944" s="1359"/>
      <c r="O944" s="1359"/>
      <c r="P944" s="1359"/>
      <c r="Q944" s="1359"/>
      <c r="R944" s="1360"/>
      <c r="S944" s="1358" t="s">
        <v>40</v>
      </c>
      <c r="T944" s="1361"/>
    </row>
    <row r="945" spans="1:20" ht="11.25" hidden="1" customHeight="1" x14ac:dyDescent="0.35">
      <c r="A945" s="1363"/>
      <c r="B945" s="1358"/>
      <c r="C945" s="1358"/>
      <c r="D945" s="1358"/>
      <c r="E945" s="1358" t="s">
        <v>1372</v>
      </c>
      <c r="F945" s="1362"/>
      <c r="G945" s="1359"/>
      <c r="H945" s="1359"/>
      <c r="I945" s="1359"/>
      <c r="J945" s="1359"/>
      <c r="K945" s="1359"/>
      <c r="L945" s="1359"/>
      <c r="M945" s="1359"/>
      <c r="N945" s="1359"/>
      <c r="O945" s="1359"/>
      <c r="P945" s="1359"/>
      <c r="Q945" s="1359"/>
      <c r="R945" s="1360"/>
      <c r="S945" s="1358" t="s">
        <v>40</v>
      </c>
      <c r="T945" s="1361"/>
    </row>
    <row r="946" spans="1:20" ht="11.25" hidden="1" customHeight="1" x14ac:dyDescent="0.35">
      <c r="A946" s="1363"/>
      <c r="B946" s="1358"/>
      <c r="C946" s="1358"/>
      <c r="D946" s="1358"/>
      <c r="E946" s="1358" t="s">
        <v>1373</v>
      </c>
      <c r="F946" s="1362"/>
      <c r="G946" s="1359"/>
      <c r="H946" s="1359"/>
      <c r="I946" s="1359"/>
      <c r="J946" s="1359"/>
      <c r="K946" s="1359"/>
      <c r="L946" s="1359"/>
      <c r="M946" s="1359"/>
      <c r="N946" s="1359"/>
      <c r="O946" s="1359"/>
      <c r="P946" s="1359"/>
      <c r="Q946" s="1359"/>
      <c r="R946" s="1360"/>
      <c r="S946" s="1358" t="s">
        <v>40</v>
      </c>
      <c r="T946" s="1361"/>
    </row>
    <row r="947" spans="1:20" ht="11.25" hidden="1" customHeight="1" x14ac:dyDescent="0.35">
      <c r="A947" s="1363"/>
      <c r="B947" s="1358"/>
      <c r="C947" s="1358"/>
      <c r="D947" s="1358"/>
      <c r="E947" s="1358" t="s">
        <v>1374</v>
      </c>
      <c r="F947" s="1362"/>
      <c r="G947" s="1359"/>
      <c r="H947" s="1359"/>
      <c r="I947" s="1359"/>
      <c r="J947" s="1359"/>
      <c r="K947" s="1359"/>
      <c r="L947" s="1359"/>
      <c r="M947" s="1359"/>
      <c r="N947" s="1359"/>
      <c r="O947" s="1359"/>
      <c r="P947" s="1359"/>
      <c r="Q947" s="1359"/>
      <c r="R947" s="1360"/>
      <c r="S947" s="1358" t="s">
        <v>40</v>
      </c>
      <c r="T947" s="1361"/>
    </row>
    <row r="948" spans="1:20" ht="11.25" hidden="1" customHeight="1" x14ac:dyDescent="0.35">
      <c r="A948" s="1363"/>
      <c r="B948" s="1358"/>
      <c r="C948" s="1358"/>
      <c r="D948" s="1358"/>
      <c r="E948" s="1358" t="s">
        <v>1375</v>
      </c>
      <c r="F948" s="1362"/>
      <c r="G948" s="1359"/>
      <c r="H948" s="1359"/>
      <c r="I948" s="1359"/>
      <c r="J948" s="1359"/>
      <c r="K948" s="1359"/>
      <c r="L948" s="1359"/>
      <c r="M948" s="1359"/>
      <c r="N948" s="1359"/>
      <c r="O948" s="1359"/>
      <c r="P948" s="1359"/>
      <c r="Q948" s="1359"/>
      <c r="R948" s="1360"/>
      <c r="S948" s="1358" t="s">
        <v>40</v>
      </c>
      <c r="T948" s="1361"/>
    </row>
    <row r="949" spans="1:20" ht="11.25" hidden="1" customHeight="1" x14ac:dyDescent="0.35">
      <c r="A949" s="1363"/>
      <c r="B949" s="1358"/>
      <c r="C949" s="1358"/>
      <c r="D949" s="1358"/>
      <c r="E949" s="1358" t="s">
        <v>1376</v>
      </c>
      <c r="F949" s="1362"/>
      <c r="G949" s="1359"/>
      <c r="H949" s="1359"/>
      <c r="I949" s="1359"/>
      <c r="J949" s="1359"/>
      <c r="K949" s="1359"/>
      <c r="L949" s="1359"/>
      <c r="M949" s="1359"/>
      <c r="N949" s="1359"/>
      <c r="O949" s="1359"/>
      <c r="P949" s="1359"/>
      <c r="Q949" s="1359"/>
      <c r="R949" s="1360"/>
      <c r="S949" s="1358" t="s">
        <v>40</v>
      </c>
      <c r="T949" s="1361"/>
    </row>
    <row r="950" spans="1:20" ht="11.25" hidden="1" customHeight="1" x14ac:dyDescent="0.35">
      <c r="A950" s="1363"/>
      <c r="B950" s="1358"/>
      <c r="C950" s="1358"/>
      <c r="D950" s="1358"/>
      <c r="E950" s="1358" t="s">
        <v>1377</v>
      </c>
      <c r="F950" s="1362"/>
      <c r="G950" s="1359"/>
      <c r="H950" s="1359"/>
      <c r="I950" s="1359"/>
      <c r="J950" s="1359"/>
      <c r="K950" s="1359"/>
      <c r="L950" s="1359"/>
      <c r="M950" s="1359"/>
      <c r="N950" s="1359"/>
      <c r="O950" s="1359"/>
      <c r="P950" s="1359"/>
      <c r="Q950" s="1359"/>
      <c r="R950" s="1360"/>
      <c r="S950" s="1358" t="s">
        <v>40</v>
      </c>
      <c r="T950" s="1361"/>
    </row>
    <row r="951" spans="1:20" ht="11.25" hidden="1" customHeight="1" x14ac:dyDescent="0.35">
      <c r="A951" s="1363"/>
      <c r="B951" s="1358"/>
      <c r="C951" s="1358"/>
      <c r="D951" s="1358"/>
      <c r="E951" s="1358" t="s">
        <v>1378</v>
      </c>
      <c r="F951" s="1362"/>
      <c r="G951" s="1359"/>
      <c r="H951" s="1359"/>
      <c r="I951" s="1359"/>
      <c r="J951" s="1359"/>
      <c r="K951" s="1359"/>
      <c r="L951" s="1359"/>
      <c r="M951" s="1359"/>
      <c r="N951" s="1359"/>
      <c r="O951" s="1359"/>
      <c r="P951" s="1359"/>
      <c r="Q951" s="1359"/>
      <c r="R951" s="1360"/>
      <c r="S951" s="1358" t="s">
        <v>40</v>
      </c>
      <c r="T951" s="1361"/>
    </row>
    <row r="952" spans="1:20" ht="11.25" hidden="1" customHeight="1" x14ac:dyDescent="0.35">
      <c r="A952" s="1363"/>
      <c r="B952" s="1358"/>
      <c r="C952" s="1358"/>
      <c r="D952" s="1358"/>
      <c r="E952" s="1358" t="s">
        <v>1379</v>
      </c>
      <c r="F952" s="1362"/>
      <c r="G952" s="1359"/>
      <c r="H952" s="1359"/>
      <c r="I952" s="1359"/>
      <c r="J952" s="1359"/>
      <c r="K952" s="1359"/>
      <c r="L952" s="1359"/>
      <c r="M952" s="1359"/>
      <c r="N952" s="1359"/>
      <c r="O952" s="1359"/>
      <c r="P952" s="1359"/>
      <c r="Q952" s="1359"/>
      <c r="R952" s="1360"/>
      <c r="S952" s="1358" t="s">
        <v>40</v>
      </c>
      <c r="T952" s="1361"/>
    </row>
    <row r="953" spans="1:20" ht="11.25" hidden="1" customHeight="1" x14ac:dyDescent="0.35">
      <c r="A953" s="1363"/>
      <c r="B953" s="1358"/>
      <c r="C953" s="1358"/>
      <c r="D953" s="1358"/>
      <c r="E953" s="1358" t="s">
        <v>1380</v>
      </c>
      <c r="F953" s="1362"/>
      <c r="G953" s="1359"/>
      <c r="H953" s="1359"/>
      <c r="I953" s="1359"/>
      <c r="J953" s="1359"/>
      <c r="K953" s="1359"/>
      <c r="L953" s="1359"/>
      <c r="M953" s="1359"/>
      <c r="N953" s="1359"/>
      <c r="O953" s="1359"/>
      <c r="P953" s="1359"/>
      <c r="Q953" s="1359"/>
      <c r="R953" s="1360"/>
      <c r="S953" s="1358" t="s">
        <v>40</v>
      </c>
      <c r="T953" s="1361"/>
    </row>
    <row r="954" spans="1:20" ht="11.25" hidden="1" customHeight="1" x14ac:dyDescent="0.35">
      <c r="A954" s="1363"/>
      <c r="B954" s="1358"/>
      <c r="C954" s="1358"/>
      <c r="D954" s="1358"/>
      <c r="E954" s="1358" t="s">
        <v>1381</v>
      </c>
      <c r="F954" s="1362"/>
      <c r="G954" s="1359"/>
      <c r="H954" s="1359"/>
      <c r="I954" s="1359"/>
      <c r="J954" s="1359"/>
      <c r="K954" s="1359"/>
      <c r="L954" s="1359"/>
      <c r="M954" s="1359"/>
      <c r="N954" s="1359"/>
      <c r="O954" s="1359"/>
      <c r="P954" s="1359"/>
      <c r="Q954" s="1359"/>
      <c r="R954" s="1360"/>
      <c r="S954" s="1358" t="s">
        <v>40</v>
      </c>
      <c r="T954" s="1361"/>
    </row>
    <row r="955" spans="1:20" ht="11.25" hidden="1" customHeight="1" x14ac:dyDescent="0.35">
      <c r="A955" s="1363"/>
      <c r="B955" s="1358"/>
      <c r="C955" s="1358"/>
      <c r="D955" s="1358"/>
      <c r="E955" s="1358" t="s">
        <v>1382</v>
      </c>
      <c r="F955" s="1362"/>
      <c r="G955" s="1359"/>
      <c r="H955" s="1359"/>
      <c r="I955" s="1359"/>
      <c r="J955" s="1359"/>
      <c r="K955" s="1359"/>
      <c r="L955" s="1359"/>
      <c r="M955" s="1359"/>
      <c r="N955" s="1359"/>
      <c r="O955" s="1359"/>
      <c r="P955" s="1359"/>
      <c r="Q955" s="1359"/>
      <c r="R955" s="1360"/>
      <c r="S955" s="1358" t="s">
        <v>40</v>
      </c>
      <c r="T955" s="1361"/>
    </row>
    <row r="956" spans="1:20" ht="11.25" hidden="1" customHeight="1" x14ac:dyDescent="0.35">
      <c r="A956" s="1363"/>
      <c r="B956" s="1358"/>
      <c r="C956" s="1358"/>
      <c r="D956" s="1358"/>
      <c r="E956" s="1358" t="s">
        <v>1383</v>
      </c>
      <c r="F956" s="1362"/>
      <c r="G956" s="1359"/>
      <c r="H956" s="1359"/>
      <c r="I956" s="1359"/>
      <c r="J956" s="1359"/>
      <c r="K956" s="1359"/>
      <c r="L956" s="1359"/>
      <c r="M956" s="1359"/>
      <c r="N956" s="1359"/>
      <c r="O956" s="1359"/>
      <c r="P956" s="1359"/>
      <c r="Q956" s="1359"/>
      <c r="R956" s="1360"/>
      <c r="S956" s="1358" t="s">
        <v>40</v>
      </c>
      <c r="T956" s="1361"/>
    </row>
    <row r="957" spans="1:20" ht="11.25" hidden="1" customHeight="1" x14ac:dyDescent="0.35">
      <c r="A957" s="1363"/>
      <c r="B957" s="1358"/>
      <c r="C957" s="1358"/>
      <c r="D957" s="1358"/>
      <c r="E957" s="1358" t="s">
        <v>1384</v>
      </c>
      <c r="F957" s="1362"/>
      <c r="G957" s="1359"/>
      <c r="H957" s="1359"/>
      <c r="I957" s="1359"/>
      <c r="J957" s="1359"/>
      <c r="K957" s="1359"/>
      <c r="L957" s="1359"/>
      <c r="M957" s="1359"/>
      <c r="N957" s="1359"/>
      <c r="O957" s="1359"/>
      <c r="P957" s="1359"/>
      <c r="Q957" s="1359"/>
      <c r="R957" s="1360"/>
      <c r="S957" s="1358" t="s">
        <v>40</v>
      </c>
      <c r="T957" s="1361"/>
    </row>
    <row r="958" spans="1:20" ht="11.25" hidden="1" customHeight="1" x14ac:dyDescent="0.35">
      <c r="A958" s="1363"/>
      <c r="B958" s="1358"/>
      <c r="C958" s="1358"/>
      <c r="D958" s="1358"/>
      <c r="E958" s="1358" t="s">
        <v>1385</v>
      </c>
      <c r="F958" s="1362"/>
      <c r="G958" s="1359"/>
      <c r="H958" s="1359"/>
      <c r="I958" s="1359"/>
      <c r="J958" s="1359"/>
      <c r="K958" s="1359"/>
      <c r="L958" s="1359"/>
      <c r="M958" s="1359"/>
      <c r="N958" s="1359"/>
      <c r="O958" s="1359"/>
      <c r="P958" s="1359"/>
      <c r="Q958" s="1359"/>
      <c r="R958" s="1360"/>
      <c r="S958" s="1358" t="s">
        <v>40</v>
      </c>
      <c r="T958" s="1361"/>
    </row>
    <row r="959" spans="1:20" ht="11.25" hidden="1" customHeight="1" x14ac:dyDescent="0.35">
      <c r="A959" s="1363"/>
      <c r="B959" s="1358"/>
      <c r="C959" s="1358"/>
      <c r="D959" s="1358"/>
      <c r="E959" s="1358" t="s">
        <v>1386</v>
      </c>
      <c r="F959" s="1362"/>
      <c r="G959" s="1359"/>
      <c r="H959" s="1359"/>
      <c r="I959" s="1359"/>
      <c r="J959" s="1359"/>
      <c r="K959" s="1359"/>
      <c r="L959" s="1359"/>
      <c r="M959" s="1359"/>
      <c r="N959" s="1359"/>
      <c r="O959" s="1359"/>
      <c r="P959" s="1359"/>
      <c r="Q959" s="1359"/>
      <c r="R959" s="1360"/>
      <c r="S959" s="1358" t="s">
        <v>40</v>
      </c>
      <c r="T959" s="1361"/>
    </row>
    <row r="960" spans="1:20" ht="11.25" hidden="1" customHeight="1" x14ac:dyDescent="0.35">
      <c r="A960" s="1363"/>
      <c r="B960" s="1358"/>
      <c r="C960" s="1358"/>
      <c r="D960" s="1358"/>
      <c r="E960" s="1358" t="s">
        <v>1387</v>
      </c>
      <c r="F960" s="1362"/>
      <c r="G960" s="1359"/>
      <c r="H960" s="1359"/>
      <c r="I960" s="1359"/>
      <c r="J960" s="1359"/>
      <c r="K960" s="1359"/>
      <c r="L960" s="1359"/>
      <c r="M960" s="1359"/>
      <c r="N960" s="1359"/>
      <c r="O960" s="1359"/>
      <c r="P960" s="1359"/>
      <c r="Q960" s="1359"/>
      <c r="R960" s="1360"/>
      <c r="S960" s="1358" t="s">
        <v>40</v>
      </c>
      <c r="T960" s="1361"/>
    </row>
    <row r="961" spans="1:20" ht="11.25" hidden="1" customHeight="1" x14ac:dyDescent="0.35">
      <c r="A961" s="1363"/>
      <c r="B961" s="1358"/>
      <c r="C961" s="1358"/>
      <c r="D961" s="1358"/>
      <c r="E961" s="1358" t="s">
        <v>1388</v>
      </c>
      <c r="F961" s="1362"/>
      <c r="G961" s="1359"/>
      <c r="H961" s="1359"/>
      <c r="I961" s="1359"/>
      <c r="J961" s="1359"/>
      <c r="K961" s="1359"/>
      <c r="L961" s="1359"/>
      <c r="M961" s="1359"/>
      <c r="N961" s="1359"/>
      <c r="O961" s="1359"/>
      <c r="P961" s="1359"/>
      <c r="Q961" s="1359"/>
      <c r="R961" s="1360"/>
      <c r="S961" s="1358" t="s">
        <v>40</v>
      </c>
      <c r="T961" s="1361"/>
    </row>
    <row r="962" spans="1:20" ht="11.25" hidden="1" customHeight="1" x14ac:dyDescent="0.35">
      <c r="A962" s="1363"/>
      <c r="B962" s="1358"/>
      <c r="C962" s="1358"/>
      <c r="D962" s="1358"/>
      <c r="E962" s="1358" t="s">
        <v>1389</v>
      </c>
      <c r="F962" s="1362"/>
      <c r="G962" s="1359"/>
      <c r="H962" s="1359"/>
      <c r="I962" s="1359"/>
      <c r="J962" s="1359"/>
      <c r="K962" s="1359"/>
      <c r="L962" s="1359"/>
      <c r="M962" s="1359"/>
      <c r="N962" s="1359"/>
      <c r="O962" s="1359"/>
      <c r="P962" s="1359"/>
      <c r="Q962" s="1359"/>
      <c r="R962" s="1360"/>
      <c r="S962" s="1358" t="s">
        <v>40</v>
      </c>
      <c r="T962" s="1361"/>
    </row>
    <row r="963" spans="1:20" ht="11.25" hidden="1" customHeight="1" x14ac:dyDescent="0.35">
      <c r="A963" s="1363"/>
      <c r="B963" s="1358"/>
      <c r="C963" s="1358" t="s">
        <v>1390</v>
      </c>
      <c r="D963" s="1358" t="s">
        <v>1391</v>
      </c>
      <c r="E963" s="1358" t="s">
        <v>1392</v>
      </c>
      <c r="F963" s="1362"/>
      <c r="G963" s="1359"/>
      <c r="H963" s="1359"/>
      <c r="I963" s="1359"/>
      <c r="J963" s="1359"/>
      <c r="K963" s="1359"/>
      <c r="L963" s="1359"/>
      <c r="M963" s="1359"/>
      <c r="N963" s="1359"/>
      <c r="O963" s="1359"/>
      <c r="P963" s="1359"/>
      <c r="Q963" s="1359"/>
      <c r="R963" s="1360"/>
      <c r="S963" s="1358" t="s">
        <v>40</v>
      </c>
      <c r="T963" s="1361"/>
    </row>
    <row r="964" spans="1:20" ht="11.25" hidden="1" customHeight="1" x14ac:dyDescent="0.35">
      <c r="A964" s="1363"/>
      <c r="B964" s="1358"/>
      <c r="C964" s="1358"/>
      <c r="D964" s="1358"/>
      <c r="E964" s="1358" t="s">
        <v>1393</v>
      </c>
      <c r="F964" s="1362"/>
      <c r="G964" s="1359"/>
      <c r="H964" s="1359"/>
      <c r="I964" s="1359"/>
      <c r="J964" s="1359"/>
      <c r="K964" s="1359"/>
      <c r="L964" s="1359"/>
      <c r="M964" s="1359"/>
      <c r="N964" s="1359"/>
      <c r="O964" s="1359"/>
      <c r="P964" s="1359"/>
      <c r="Q964" s="1359"/>
      <c r="R964" s="1360"/>
      <c r="S964" s="1358" t="s">
        <v>40</v>
      </c>
      <c r="T964" s="1361"/>
    </row>
    <row r="965" spans="1:20" ht="11.25" hidden="1" customHeight="1" x14ac:dyDescent="0.35">
      <c r="A965" s="1363"/>
      <c r="B965" s="1358"/>
      <c r="C965" s="1358"/>
      <c r="D965" s="1358"/>
      <c r="E965" s="1358" t="s">
        <v>1394</v>
      </c>
      <c r="F965" s="1362"/>
      <c r="G965" s="1359"/>
      <c r="H965" s="1359"/>
      <c r="I965" s="1359"/>
      <c r="J965" s="1359"/>
      <c r="K965" s="1359"/>
      <c r="L965" s="1359"/>
      <c r="M965" s="1359"/>
      <c r="N965" s="1359"/>
      <c r="O965" s="1359"/>
      <c r="P965" s="1359"/>
      <c r="Q965" s="1359"/>
      <c r="R965" s="1360"/>
      <c r="S965" s="1358" t="s">
        <v>40</v>
      </c>
      <c r="T965" s="1361"/>
    </row>
    <row r="966" spans="1:20" ht="11.25" hidden="1" customHeight="1" x14ac:dyDescent="0.35">
      <c r="A966" s="1363"/>
      <c r="B966" s="1358"/>
      <c r="C966" s="1358"/>
      <c r="D966" s="1358"/>
      <c r="E966" s="1358" t="s">
        <v>1395</v>
      </c>
      <c r="F966" s="1362"/>
      <c r="G966" s="1359"/>
      <c r="H966" s="1359"/>
      <c r="I966" s="1359"/>
      <c r="J966" s="1359"/>
      <c r="K966" s="1359"/>
      <c r="L966" s="1359"/>
      <c r="M966" s="1359"/>
      <c r="N966" s="1359"/>
      <c r="O966" s="1359"/>
      <c r="P966" s="1359"/>
      <c r="Q966" s="1359"/>
      <c r="R966" s="1360"/>
      <c r="S966" s="1358" t="s">
        <v>40</v>
      </c>
      <c r="T966" s="1361"/>
    </row>
    <row r="967" spans="1:20" ht="11.25" hidden="1" customHeight="1" x14ac:dyDescent="0.35">
      <c r="A967" s="1363"/>
      <c r="B967" s="1358"/>
      <c r="C967" s="1358"/>
      <c r="D967" s="1358"/>
      <c r="E967" s="1358" t="s">
        <v>1396</v>
      </c>
      <c r="F967" s="1362"/>
      <c r="G967" s="1359"/>
      <c r="H967" s="1359"/>
      <c r="I967" s="1359"/>
      <c r="J967" s="1359"/>
      <c r="K967" s="1359"/>
      <c r="L967" s="1359"/>
      <c r="M967" s="1359"/>
      <c r="N967" s="1359"/>
      <c r="O967" s="1359"/>
      <c r="P967" s="1359"/>
      <c r="Q967" s="1359"/>
      <c r="R967" s="1360"/>
      <c r="S967" s="1358" t="s">
        <v>40</v>
      </c>
      <c r="T967" s="1361"/>
    </row>
    <row r="968" spans="1:20" ht="11.25" hidden="1" customHeight="1" x14ac:dyDescent="0.35">
      <c r="A968" s="1363"/>
      <c r="B968" s="1358"/>
      <c r="C968" s="1358"/>
      <c r="D968" s="1358"/>
      <c r="E968" s="1358" t="s">
        <v>1397</v>
      </c>
      <c r="F968" s="1362"/>
      <c r="G968" s="1359"/>
      <c r="H968" s="1359"/>
      <c r="I968" s="1359"/>
      <c r="J968" s="1359"/>
      <c r="K968" s="1359"/>
      <c r="L968" s="1359"/>
      <c r="M968" s="1359"/>
      <c r="N968" s="1359"/>
      <c r="O968" s="1359"/>
      <c r="P968" s="1359"/>
      <c r="Q968" s="1359"/>
      <c r="R968" s="1360"/>
      <c r="S968" s="1358" t="s">
        <v>40</v>
      </c>
      <c r="T968" s="1361"/>
    </row>
    <row r="969" spans="1:20" ht="11.25" hidden="1" customHeight="1" x14ac:dyDescent="0.35">
      <c r="A969" s="1363"/>
      <c r="B969" s="1358"/>
      <c r="C969" s="1358"/>
      <c r="D969" s="1358"/>
      <c r="E969" s="1358" t="s">
        <v>1398</v>
      </c>
      <c r="F969" s="1362"/>
      <c r="G969" s="1359"/>
      <c r="H969" s="1359"/>
      <c r="I969" s="1359"/>
      <c r="J969" s="1359"/>
      <c r="K969" s="1359"/>
      <c r="L969" s="1359"/>
      <c r="M969" s="1359"/>
      <c r="N969" s="1359"/>
      <c r="O969" s="1359"/>
      <c r="P969" s="1359"/>
      <c r="Q969" s="1359"/>
      <c r="R969" s="1360"/>
      <c r="S969" s="1358" t="s">
        <v>40</v>
      </c>
      <c r="T969" s="1361"/>
    </row>
    <row r="970" spans="1:20" ht="11.25" hidden="1" customHeight="1" x14ac:dyDescent="0.35">
      <c r="A970" s="1363"/>
      <c r="B970" s="1358"/>
      <c r="C970" s="1358"/>
      <c r="D970" s="1358"/>
      <c r="E970" s="1358" t="s">
        <v>1399</v>
      </c>
      <c r="F970" s="1362"/>
      <c r="G970" s="1359"/>
      <c r="H970" s="1359"/>
      <c r="I970" s="1359"/>
      <c r="J970" s="1359"/>
      <c r="K970" s="1359"/>
      <c r="L970" s="1359"/>
      <c r="M970" s="1359"/>
      <c r="N970" s="1359"/>
      <c r="O970" s="1359"/>
      <c r="P970" s="1359"/>
      <c r="Q970" s="1359"/>
      <c r="R970" s="1360"/>
      <c r="S970" s="1358" t="s">
        <v>40</v>
      </c>
      <c r="T970" s="1361"/>
    </row>
    <row r="971" spans="1:20" ht="11.25" hidden="1" customHeight="1" x14ac:dyDescent="0.35">
      <c r="A971" s="1363"/>
      <c r="B971" s="1358"/>
      <c r="C971" s="1358"/>
      <c r="D971" s="1358"/>
      <c r="E971" s="1358" t="s">
        <v>1400</v>
      </c>
      <c r="F971" s="1362"/>
      <c r="G971" s="1359"/>
      <c r="H971" s="1359"/>
      <c r="I971" s="1359"/>
      <c r="J971" s="1359"/>
      <c r="K971" s="1359"/>
      <c r="L971" s="1359"/>
      <c r="M971" s="1359"/>
      <c r="N971" s="1359"/>
      <c r="O971" s="1359"/>
      <c r="P971" s="1359"/>
      <c r="Q971" s="1359"/>
      <c r="R971" s="1360"/>
      <c r="S971" s="1358" t="s">
        <v>40</v>
      </c>
      <c r="T971" s="1361"/>
    </row>
    <row r="972" spans="1:20" ht="11.25" hidden="1" customHeight="1" x14ac:dyDescent="0.35">
      <c r="A972" s="1363"/>
      <c r="B972" s="1358"/>
      <c r="C972" s="1358"/>
      <c r="D972" s="1358"/>
      <c r="E972" s="1358" t="s">
        <v>1401</v>
      </c>
      <c r="F972" s="1362"/>
      <c r="G972" s="1359"/>
      <c r="H972" s="1359"/>
      <c r="I972" s="1359"/>
      <c r="J972" s="1359"/>
      <c r="K972" s="1359"/>
      <c r="L972" s="1359"/>
      <c r="M972" s="1359"/>
      <c r="N972" s="1359"/>
      <c r="O972" s="1359"/>
      <c r="P972" s="1359"/>
      <c r="Q972" s="1359"/>
      <c r="R972" s="1360"/>
      <c r="S972" s="1358" t="s">
        <v>40</v>
      </c>
      <c r="T972" s="1361"/>
    </row>
    <row r="973" spans="1:20" ht="11.25" hidden="1" customHeight="1" x14ac:dyDescent="0.35">
      <c r="A973" s="1363"/>
      <c r="B973" s="1358"/>
      <c r="C973" s="1358"/>
      <c r="D973" s="1358"/>
      <c r="E973" s="1358" t="s">
        <v>1402</v>
      </c>
      <c r="F973" s="1362"/>
      <c r="G973" s="1359"/>
      <c r="H973" s="1359"/>
      <c r="I973" s="1359"/>
      <c r="J973" s="1359"/>
      <c r="K973" s="1359"/>
      <c r="L973" s="1359"/>
      <c r="M973" s="1359"/>
      <c r="N973" s="1359"/>
      <c r="O973" s="1359"/>
      <c r="P973" s="1359"/>
      <c r="Q973" s="1359"/>
      <c r="R973" s="1360"/>
      <c r="S973" s="1358" t="s">
        <v>40</v>
      </c>
      <c r="T973" s="1361"/>
    </row>
    <row r="974" spans="1:20" ht="11.25" hidden="1" customHeight="1" x14ac:dyDescent="0.35">
      <c r="A974" s="1363"/>
      <c r="B974" s="1358"/>
      <c r="C974" s="1358"/>
      <c r="D974" s="1358"/>
      <c r="E974" s="1358" t="s">
        <v>1403</v>
      </c>
      <c r="F974" s="1362"/>
      <c r="G974" s="1359"/>
      <c r="H974" s="1359"/>
      <c r="I974" s="1359"/>
      <c r="J974" s="1359"/>
      <c r="K974" s="1359"/>
      <c r="L974" s="1359"/>
      <c r="M974" s="1359"/>
      <c r="N974" s="1359"/>
      <c r="O974" s="1359"/>
      <c r="P974" s="1359"/>
      <c r="Q974" s="1359"/>
      <c r="R974" s="1360"/>
      <c r="S974" s="1358" t="s">
        <v>40</v>
      </c>
      <c r="T974" s="1361"/>
    </row>
    <row r="975" spans="1:20" ht="11.25" hidden="1" customHeight="1" x14ac:dyDescent="0.35">
      <c r="A975" s="1363"/>
      <c r="B975" s="1358"/>
      <c r="C975" s="1358"/>
      <c r="D975" s="1358"/>
      <c r="E975" s="1358" t="s">
        <v>1404</v>
      </c>
      <c r="F975" s="1362"/>
      <c r="G975" s="1359"/>
      <c r="H975" s="1359"/>
      <c r="I975" s="1359"/>
      <c r="J975" s="1359"/>
      <c r="K975" s="1359"/>
      <c r="L975" s="1359"/>
      <c r="M975" s="1359"/>
      <c r="N975" s="1359"/>
      <c r="O975" s="1359"/>
      <c r="P975" s="1359"/>
      <c r="Q975" s="1359"/>
      <c r="R975" s="1360"/>
      <c r="S975" s="1358" t="s">
        <v>40</v>
      </c>
      <c r="T975" s="1361"/>
    </row>
    <row r="976" spans="1:20" ht="11.25" hidden="1" customHeight="1" x14ac:dyDescent="0.35">
      <c r="A976" s="1363"/>
      <c r="B976" s="1358"/>
      <c r="C976" s="1358"/>
      <c r="D976" s="1358"/>
      <c r="E976" s="1358" t="s">
        <v>1405</v>
      </c>
      <c r="F976" s="1362"/>
      <c r="G976" s="1359"/>
      <c r="H976" s="1359"/>
      <c r="I976" s="1359"/>
      <c r="J976" s="1359"/>
      <c r="K976" s="1359"/>
      <c r="L976" s="1359"/>
      <c r="M976" s="1359"/>
      <c r="N976" s="1359"/>
      <c r="O976" s="1359"/>
      <c r="P976" s="1359"/>
      <c r="Q976" s="1359"/>
      <c r="R976" s="1360"/>
      <c r="S976" s="1358" t="s">
        <v>40</v>
      </c>
      <c r="T976" s="1361"/>
    </row>
    <row r="977" spans="1:20" ht="11.25" hidden="1" customHeight="1" x14ac:dyDescent="0.35">
      <c r="A977" s="1363"/>
      <c r="B977" s="1358"/>
      <c r="C977" s="1358"/>
      <c r="D977" s="1358"/>
      <c r="E977" s="1358" t="s">
        <v>1406</v>
      </c>
      <c r="F977" s="1362"/>
      <c r="G977" s="1359"/>
      <c r="H977" s="1359"/>
      <c r="I977" s="1359"/>
      <c r="J977" s="1359"/>
      <c r="K977" s="1359"/>
      <c r="L977" s="1359"/>
      <c r="M977" s="1359"/>
      <c r="N977" s="1359"/>
      <c r="O977" s="1359"/>
      <c r="P977" s="1359"/>
      <c r="Q977" s="1359"/>
      <c r="R977" s="1360"/>
      <c r="S977" s="1358" t="s">
        <v>40</v>
      </c>
      <c r="T977" s="1361"/>
    </row>
    <row r="978" spans="1:20" ht="11.25" hidden="1" customHeight="1" x14ac:dyDescent="0.35">
      <c r="A978" s="1363"/>
      <c r="B978" s="1358"/>
      <c r="C978" s="1358"/>
      <c r="D978" s="1358"/>
      <c r="E978" s="1358" t="s">
        <v>1407</v>
      </c>
      <c r="F978" s="1362"/>
      <c r="G978" s="1359"/>
      <c r="H978" s="1359"/>
      <c r="I978" s="1359"/>
      <c r="J978" s="1359"/>
      <c r="K978" s="1359"/>
      <c r="L978" s="1359"/>
      <c r="M978" s="1359"/>
      <c r="N978" s="1359"/>
      <c r="O978" s="1359"/>
      <c r="P978" s="1359"/>
      <c r="Q978" s="1359"/>
      <c r="R978" s="1360"/>
      <c r="S978" s="1358" t="s">
        <v>40</v>
      </c>
      <c r="T978" s="1361"/>
    </row>
    <row r="979" spans="1:20" ht="11.25" hidden="1" customHeight="1" x14ac:dyDescent="0.35">
      <c r="A979" s="1363"/>
      <c r="B979" s="1358"/>
      <c r="C979" s="1358"/>
      <c r="D979" s="1358"/>
      <c r="E979" s="1358" t="s">
        <v>1408</v>
      </c>
      <c r="F979" s="1362"/>
      <c r="G979" s="1359"/>
      <c r="H979" s="1359"/>
      <c r="I979" s="1359"/>
      <c r="J979" s="1359"/>
      <c r="K979" s="1359"/>
      <c r="L979" s="1359"/>
      <c r="M979" s="1359"/>
      <c r="N979" s="1359"/>
      <c r="O979" s="1359"/>
      <c r="P979" s="1359"/>
      <c r="Q979" s="1359"/>
      <c r="R979" s="1360"/>
      <c r="S979" s="1358" t="s">
        <v>40</v>
      </c>
      <c r="T979" s="1361"/>
    </row>
    <row r="980" spans="1:20" ht="11.25" hidden="1" customHeight="1" x14ac:dyDescent="0.35">
      <c r="A980" s="1363"/>
      <c r="B980" s="1358"/>
      <c r="C980" s="1358"/>
      <c r="D980" s="1358"/>
      <c r="E980" s="1358" t="s">
        <v>1409</v>
      </c>
      <c r="F980" s="1362"/>
      <c r="G980" s="1359"/>
      <c r="H980" s="1359"/>
      <c r="I980" s="1359"/>
      <c r="J980" s="1359"/>
      <c r="K980" s="1359"/>
      <c r="L980" s="1359"/>
      <c r="M980" s="1359"/>
      <c r="N980" s="1359"/>
      <c r="O980" s="1359"/>
      <c r="P980" s="1359"/>
      <c r="Q980" s="1359"/>
      <c r="R980" s="1360"/>
      <c r="S980" s="1358" t="s">
        <v>40</v>
      </c>
      <c r="T980" s="1361"/>
    </row>
    <row r="981" spans="1:20" ht="11.25" hidden="1" customHeight="1" x14ac:dyDescent="0.35">
      <c r="A981" s="1363"/>
      <c r="B981" s="1358"/>
      <c r="C981" s="1358"/>
      <c r="D981" s="1358"/>
      <c r="E981" s="1358" t="s">
        <v>1410</v>
      </c>
      <c r="F981" s="1362"/>
      <c r="G981" s="1359"/>
      <c r="H981" s="1359"/>
      <c r="I981" s="1359"/>
      <c r="J981" s="1359"/>
      <c r="K981" s="1359"/>
      <c r="L981" s="1359"/>
      <c r="M981" s="1359"/>
      <c r="N981" s="1359"/>
      <c r="O981" s="1359"/>
      <c r="P981" s="1359"/>
      <c r="Q981" s="1359"/>
      <c r="R981" s="1360"/>
      <c r="S981" s="1358" t="s">
        <v>40</v>
      </c>
      <c r="T981" s="1361"/>
    </row>
    <row r="982" spans="1:20" ht="11.25" hidden="1" customHeight="1" x14ac:dyDescent="0.35">
      <c r="A982" s="1363"/>
      <c r="B982" s="1358"/>
      <c r="C982" s="1358"/>
      <c r="D982" s="1358"/>
      <c r="E982" s="1358" t="s">
        <v>1411</v>
      </c>
      <c r="F982" s="1362"/>
      <c r="G982" s="1359"/>
      <c r="H982" s="1359"/>
      <c r="I982" s="1359"/>
      <c r="J982" s="1359"/>
      <c r="K982" s="1359"/>
      <c r="L982" s="1359"/>
      <c r="M982" s="1359"/>
      <c r="N982" s="1359"/>
      <c r="O982" s="1359"/>
      <c r="P982" s="1359"/>
      <c r="Q982" s="1359"/>
      <c r="R982" s="1360"/>
      <c r="S982" s="1358" t="s">
        <v>40</v>
      </c>
      <c r="T982" s="1361"/>
    </row>
    <row r="983" spans="1:20" ht="11.25" hidden="1" customHeight="1" x14ac:dyDescent="0.35">
      <c r="A983" s="1363"/>
      <c r="B983" s="1358"/>
      <c r="C983" s="1358"/>
      <c r="D983" s="1358"/>
      <c r="E983" s="1358" t="s">
        <v>1412</v>
      </c>
      <c r="F983" s="1362"/>
      <c r="G983" s="1359"/>
      <c r="H983" s="1359"/>
      <c r="I983" s="1359"/>
      <c r="J983" s="1359"/>
      <c r="K983" s="1359"/>
      <c r="L983" s="1359"/>
      <c r="M983" s="1359"/>
      <c r="N983" s="1359"/>
      <c r="O983" s="1359"/>
      <c r="P983" s="1359"/>
      <c r="Q983" s="1359"/>
      <c r="R983" s="1360"/>
      <c r="S983" s="1358" t="s">
        <v>40</v>
      </c>
      <c r="T983" s="1361"/>
    </row>
    <row r="984" spans="1:20" ht="11.25" hidden="1" customHeight="1" x14ac:dyDescent="0.35">
      <c r="A984" s="1363"/>
      <c r="B984" s="1358"/>
      <c r="C984" s="1358"/>
      <c r="D984" s="1358"/>
      <c r="E984" s="1358" t="s">
        <v>1413</v>
      </c>
      <c r="F984" s="1362"/>
      <c r="G984" s="1359"/>
      <c r="H984" s="1359"/>
      <c r="I984" s="1359"/>
      <c r="J984" s="1359"/>
      <c r="K984" s="1359"/>
      <c r="L984" s="1359"/>
      <c r="M984" s="1359"/>
      <c r="N984" s="1359"/>
      <c r="O984" s="1359"/>
      <c r="P984" s="1359"/>
      <c r="Q984" s="1359"/>
      <c r="R984" s="1360"/>
      <c r="S984" s="1358" t="s">
        <v>40</v>
      </c>
      <c r="T984" s="1361"/>
    </row>
    <row r="985" spans="1:20" ht="11.25" hidden="1" customHeight="1" x14ac:dyDescent="0.35">
      <c r="A985" s="1363"/>
      <c r="B985" s="1358"/>
      <c r="C985" s="1358"/>
      <c r="D985" s="1358"/>
      <c r="E985" s="1358" t="s">
        <v>1414</v>
      </c>
      <c r="F985" s="1362"/>
      <c r="G985" s="1359"/>
      <c r="H985" s="1359"/>
      <c r="I985" s="1359"/>
      <c r="J985" s="1359"/>
      <c r="K985" s="1359"/>
      <c r="L985" s="1359"/>
      <c r="M985" s="1359"/>
      <c r="N985" s="1359"/>
      <c r="O985" s="1359"/>
      <c r="P985" s="1359"/>
      <c r="Q985" s="1359"/>
      <c r="R985" s="1360"/>
      <c r="S985" s="1358" t="s">
        <v>40</v>
      </c>
      <c r="T985" s="1361"/>
    </row>
    <row r="986" spans="1:20" ht="11.25" hidden="1" customHeight="1" x14ac:dyDescent="0.35">
      <c r="A986" s="1363"/>
      <c r="B986" s="1358"/>
      <c r="C986" s="1358"/>
      <c r="D986" s="1358"/>
      <c r="E986" s="1358" t="s">
        <v>1415</v>
      </c>
      <c r="F986" s="1362"/>
      <c r="G986" s="1359"/>
      <c r="H986" s="1359"/>
      <c r="I986" s="1359"/>
      <c r="J986" s="1359"/>
      <c r="K986" s="1359"/>
      <c r="L986" s="1359"/>
      <c r="M986" s="1359"/>
      <c r="N986" s="1359"/>
      <c r="O986" s="1359"/>
      <c r="P986" s="1359"/>
      <c r="Q986" s="1359"/>
      <c r="R986" s="1360"/>
      <c r="S986" s="1358" t="s">
        <v>40</v>
      </c>
      <c r="T986" s="1361"/>
    </row>
    <row r="987" spans="1:20" ht="11.25" hidden="1" customHeight="1" x14ac:dyDescent="0.35">
      <c r="A987" s="1363"/>
      <c r="B987" s="1358"/>
      <c r="C987" s="1358"/>
      <c r="D987" s="1358"/>
      <c r="E987" s="1358" t="s">
        <v>1416</v>
      </c>
      <c r="F987" s="1362"/>
      <c r="G987" s="1359"/>
      <c r="H987" s="1359"/>
      <c r="I987" s="1359"/>
      <c r="J987" s="1359"/>
      <c r="K987" s="1359"/>
      <c r="L987" s="1359"/>
      <c r="M987" s="1359"/>
      <c r="N987" s="1359"/>
      <c r="O987" s="1359"/>
      <c r="P987" s="1359"/>
      <c r="Q987" s="1359"/>
      <c r="R987" s="1360"/>
      <c r="S987" s="1358" t="s">
        <v>40</v>
      </c>
      <c r="T987" s="1361"/>
    </row>
    <row r="988" spans="1:20" ht="11.25" hidden="1" customHeight="1" x14ac:dyDescent="0.35">
      <c r="A988" s="1363"/>
      <c r="B988" s="1358"/>
      <c r="C988" s="1358"/>
      <c r="D988" s="1358"/>
      <c r="E988" s="1358" t="s">
        <v>1417</v>
      </c>
      <c r="F988" s="1362"/>
      <c r="G988" s="1359"/>
      <c r="H988" s="1359"/>
      <c r="I988" s="1359"/>
      <c r="J988" s="1359"/>
      <c r="K988" s="1359"/>
      <c r="L988" s="1359"/>
      <c r="M988" s="1359"/>
      <c r="N988" s="1359"/>
      <c r="O988" s="1359"/>
      <c r="P988" s="1359"/>
      <c r="Q988" s="1359"/>
      <c r="R988" s="1360"/>
      <c r="S988" s="1358" t="s">
        <v>40</v>
      </c>
      <c r="T988" s="1361"/>
    </row>
    <row r="989" spans="1:20" ht="11.25" hidden="1" customHeight="1" x14ac:dyDescent="0.35">
      <c r="A989" s="1363"/>
      <c r="B989" s="1358"/>
      <c r="C989" s="1358"/>
      <c r="D989" s="1358"/>
      <c r="E989" s="1358" t="s">
        <v>1418</v>
      </c>
      <c r="F989" s="1362"/>
      <c r="G989" s="1359"/>
      <c r="H989" s="1359"/>
      <c r="I989" s="1359"/>
      <c r="J989" s="1359"/>
      <c r="K989" s="1359"/>
      <c r="L989" s="1359"/>
      <c r="M989" s="1359"/>
      <c r="N989" s="1359"/>
      <c r="O989" s="1359"/>
      <c r="P989" s="1359"/>
      <c r="Q989" s="1359"/>
      <c r="R989" s="1360"/>
      <c r="S989" s="1358" t="s">
        <v>40</v>
      </c>
      <c r="T989" s="1361"/>
    </row>
    <row r="990" spans="1:20" ht="11.25" hidden="1" customHeight="1" x14ac:dyDescent="0.35">
      <c r="A990" s="1363"/>
      <c r="B990" s="1358"/>
      <c r="C990" s="1358"/>
      <c r="D990" s="1358"/>
      <c r="E990" s="1358" t="s">
        <v>1419</v>
      </c>
      <c r="F990" s="1362"/>
      <c r="G990" s="1359"/>
      <c r="H990" s="1359"/>
      <c r="I990" s="1359"/>
      <c r="J990" s="1359"/>
      <c r="K990" s="1359"/>
      <c r="L990" s="1359"/>
      <c r="M990" s="1359"/>
      <c r="N990" s="1359"/>
      <c r="O990" s="1359"/>
      <c r="P990" s="1359"/>
      <c r="Q990" s="1359"/>
      <c r="R990" s="1360"/>
      <c r="S990" s="1358" t="s">
        <v>40</v>
      </c>
      <c r="T990" s="1361"/>
    </row>
    <row r="991" spans="1:20" ht="11.25" hidden="1" customHeight="1" x14ac:dyDescent="0.35">
      <c r="A991" s="1363"/>
      <c r="B991" s="1358"/>
      <c r="C991" s="1358"/>
      <c r="D991" s="1358"/>
      <c r="E991" s="1358" t="s">
        <v>1420</v>
      </c>
      <c r="F991" s="1362"/>
      <c r="G991" s="1359"/>
      <c r="H991" s="1359"/>
      <c r="I991" s="1359"/>
      <c r="J991" s="1359"/>
      <c r="K991" s="1359"/>
      <c r="L991" s="1359"/>
      <c r="M991" s="1359"/>
      <c r="N991" s="1359"/>
      <c r="O991" s="1359"/>
      <c r="P991" s="1359"/>
      <c r="Q991" s="1359"/>
      <c r="R991" s="1360"/>
      <c r="S991" s="1358" t="s">
        <v>40</v>
      </c>
      <c r="T991" s="1361"/>
    </row>
    <row r="992" spans="1:20" ht="11.25" hidden="1" customHeight="1" x14ac:dyDescent="0.35">
      <c r="A992" s="1363"/>
      <c r="B992" s="1358"/>
      <c r="C992" s="1358"/>
      <c r="D992" s="1358"/>
      <c r="E992" s="1358" t="s">
        <v>1421</v>
      </c>
      <c r="F992" s="1362"/>
      <c r="G992" s="1359"/>
      <c r="H992" s="1359"/>
      <c r="I992" s="1359"/>
      <c r="J992" s="1359"/>
      <c r="K992" s="1359"/>
      <c r="L992" s="1359"/>
      <c r="M992" s="1359"/>
      <c r="N992" s="1359"/>
      <c r="O992" s="1359"/>
      <c r="P992" s="1359"/>
      <c r="Q992" s="1359"/>
      <c r="R992" s="1360"/>
      <c r="S992" s="1358" t="s">
        <v>40</v>
      </c>
      <c r="T992" s="1361"/>
    </row>
    <row r="993" spans="1:20" ht="11.25" hidden="1" customHeight="1" x14ac:dyDescent="0.35">
      <c r="A993" s="1363"/>
      <c r="B993" s="1358"/>
      <c r="C993" s="1358" t="s">
        <v>1422</v>
      </c>
      <c r="D993" s="1358" t="s">
        <v>1423</v>
      </c>
      <c r="E993" s="1358" t="s">
        <v>1424</v>
      </c>
      <c r="F993" s="1362"/>
      <c r="G993" s="1359">
        <f t="shared" ref="G993:P993" ca="1" si="711">+OFFSET(G$21,-2,0)-G$22+OFFSET(G$31,-2,0)-G$32+OFFSET(G$41,-2,0)-G$42+OFFSET(G$51,-2,0)-G$52+OFFSET(G$61,-2,0)-G$62+OFFSET(G$71,-2,0)-G$72+OFFSET(G$81,-2,0)-G$82+OFFSET(G$91,-2,0)-G$92+OFFSET(G$101,-2,0)-G$102+OFFSET(G$111,-2,0)-G$112+OFFSET(G$121,-2,0)-G$122+OFFSET(G$131,-2,0)-G$132+OFFSET(G$141,-2,0)-G$142+OFFSET(G$151,-2,0)-G$152+OFFSET(G$161,-2,0)-G$162+OFFSET(G$171,-2,0)-G$172+OFFSET(G$181,-2,0)-G$182+OFFSET(G$191,-2,0)-G$192+OFFSET(G$201,-2,0)-G$202+OFFSET(G$211,-2,0)-G$212+OFFSET(G$221,-2,0)-G$222+OFFSET(G$231,-2,0)-G$232+OFFSET(G$241,-2,0)-G$242+OFFSET(G$251,-2,0)-G$252+OFFSET(G$261,-2,0)-G$262+OFFSET(G$271,-2,0)-G$272+OFFSET(G$281,-2,0)-G$282+OFFSET(G$291,-2,0)-G$292+OFFSET(G$301,-2,0)-G$302+OFFSET(G$311,-2,0)-G$312-G$997</f>
        <v>0</v>
      </c>
      <c r="H993" s="1359">
        <f t="shared" ca="1" si="711"/>
        <v>-1500000</v>
      </c>
      <c r="I993" s="1359">
        <f t="shared" ca="1" si="711"/>
        <v>-500000</v>
      </c>
      <c r="J993" s="1359">
        <f t="shared" ca="1" si="711"/>
        <v>-350000</v>
      </c>
      <c r="K993" s="1359">
        <f t="shared" ca="1" si="711"/>
        <v>-350000</v>
      </c>
      <c r="L993" s="1359">
        <f t="shared" ca="1" si="711"/>
        <v>0</v>
      </c>
      <c r="M993" s="1359">
        <f t="shared" ca="1" si="711"/>
        <v>-90000</v>
      </c>
      <c r="N993" s="1359">
        <f t="shared" ca="1" si="711"/>
        <v>0</v>
      </c>
      <c r="O993" s="1359">
        <f t="shared" ca="1" si="711"/>
        <v>-45000</v>
      </c>
      <c r="P993" s="1359">
        <f t="shared" ca="1" si="711"/>
        <v>0</v>
      </c>
      <c r="Q993" s="1359"/>
      <c r="R993" s="1360"/>
      <c r="S993" s="1358" t="s">
        <v>40</v>
      </c>
      <c r="T993" s="1361"/>
    </row>
    <row r="994" spans="1:20" ht="11.25" hidden="1" customHeight="1" x14ac:dyDescent="0.35">
      <c r="A994" s="1363"/>
      <c r="B994" s="1358"/>
      <c r="C994" s="1358" t="s">
        <v>1425</v>
      </c>
      <c r="D994" s="1358"/>
      <c r="E994" s="1358" t="s">
        <v>1426</v>
      </c>
      <c r="F994" s="1362"/>
      <c r="G994" s="1359">
        <f t="shared" ref="G994:P994" si="712">-G$998</f>
        <v>0</v>
      </c>
      <c r="H994" s="1359">
        <f t="shared" si="712"/>
        <v>0</v>
      </c>
      <c r="I994" s="1359">
        <f t="shared" si="712"/>
        <v>0</v>
      </c>
      <c r="J994" s="1359">
        <f t="shared" si="712"/>
        <v>0</v>
      </c>
      <c r="K994" s="1359">
        <f t="shared" si="712"/>
        <v>0</v>
      </c>
      <c r="L994" s="1359">
        <f t="shared" si="712"/>
        <v>0</v>
      </c>
      <c r="M994" s="1359">
        <f t="shared" si="712"/>
        <v>0</v>
      </c>
      <c r="N994" s="1359">
        <f t="shared" si="712"/>
        <v>0</v>
      </c>
      <c r="O994" s="1359">
        <f t="shared" si="712"/>
        <v>0</v>
      </c>
      <c r="P994" s="1359">
        <f t="shared" si="712"/>
        <v>0</v>
      </c>
      <c r="Q994" s="1359"/>
      <c r="R994" s="1360"/>
      <c r="S994" s="1358" t="s">
        <v>40</v>
      </c>
      <c r="T994" s="1361"/>
    </row>
    <row r="995" spans="1:20" ht="11.25" hidden="1" customHeight="1" x14ac:dyDescent="0.35">
      <c r="A995" s="1363"/>
      <c r="B995" s="1358"/>
      <c r="C995" s="1358" t="s">
        <v>1427</v>
      </c>
      <c r="D995" s="1358"/>
      <c r="E995" s="1358" t="s">
        <v>1428</v>
      </c>
      <c r="F995" s="1362"/>
      <c r="G995" s="1359">
        <f t="shared" ref="G995:P995" si="713">-G$999</f>
        <v>0</v>
      </c>
      <c r="H995" s="1359">
        <f t="shared" si="713"/>
        <v>0</v>
      </c>
      <c r="I995" s="1359">
        <f t="shared" si="713"/>
        <v>0</v>
      </c>
      <c r="J995" s="1359">
        <f t="shared" si="713"/>
        <v>0</v>
      </c>
      <c r="K995" s="1359">
        <f t="shared" si="713"/>
        <v>0</v>
      </c>
      <c r="L995" s="1359">
        <f t="shared" si="713"/>
        <v>0</v>
      </c>
      <c r="M995" s="1359">
        <f t="shared" si="713"/>
        <v>0</v>
      </c>
      <c r="N995" s="1359">
        <f t="shared" si="713"/>
        <v>0</v>
      </c>
      <c r="O995" s="1359">
        <f t="shared" si="713"/>
        <v>0</v>
      </c>
      <c r="P995" s="1359">
        <f t="shared" si="713"/>
        <v>0</v>
      </c>
      <c r="Q995" s="1359"/>
      <c r="R995" s="1360"/>
      <c r="S995" s="1358" t="s">
        <v>40</v>
      </c>
      <c r="T995" s="1361"/>
    </row>
    <row r="996" spans="1:20" ht="11.25" hidden="1" customHeight="1" x14ac:dyDescent="0.35">
      <c r="A996" s="1363"/>
      <c r="B996" s="1358"/>
      <c r="C996" s="1358" t="s">
        <v>1429</v>
      </c>
      <c r="D996" s="1358"/>
      <c r="E996" s="1358" t="s">
        <v>1430</v>
      </c>
      <c r="F996" s="1362"/>
      <c r="G996" s="1359">
        <f t="shared" ref="G996:P996" si="714">-G$1000</f>
        <v>0</v>
      </c>
      <c r="H996" s="1359">
        <f t="shared" si="714"/>
        <v>0</v>
      </c>
      <c r="I996" s="1359">
        <f t="shared" si="714"/>
        <v>0</v>
      </c>
      <c r="J996" s="1359">
        <f t="shared" si="714"/>
        <v>0</v>
      </c>
      <c r="K996" s="1359">
        <f t="shared" si="714"/>
        <v>0</v>
      </c>
      <c r="L996" s="1359">
        <f t="shared" si="714"/>
        <v>0</v>
      </c>
      <c r="M996" s="1359">
        <f t="shared" si="714"/>
        <v>0</v>
      </c>
      <c r="N996" s="1359">
        <f t="shared" si="714"/>
        <v>0</v>
      </c>
      <c r="O996" s="1359">
        <f t="shared" si="714"/>
        <v>0</v>
      </c>
      <c r="P996" s="1359">
        <f t="shared" si="714"/>
        <v>0</v>
      </c>
      <c r="Q996" s="1359"/>
      <c r="R996" s="1360"/>
      <c r="S996" s="1358" t="s">
        <v>40</v>
      </c>
      <c r="T996" s="1361"/>
    </row>
    <row r="997" spans="1:20" ht="11.25" hidden="1" customHeight="1" x14ac:dyDescent="0.35">
      <c r="A997" s="1363"/>
      <c r="B997" s="1358"/>
      <c r="C997" s="1358" t="s">
        <v>1422</v>
      </c>
      <c r="D997" s="1358" t="s">
        <v>1431</v>
      </c>
      <c r="E997" s="1358" t="s">
        <v>1432</v>
      </c>
      <c r="F997" s="1362"/>
      <c r="G997" s="1359"/>
      <c r="H997" s="1359"/>
      <c r="I997" s="1359"/>
      <c r="J997" s="1359"/>
      <c r="K997" s="1359"/>
      <c r="L997" s="1359"/>
      <c r="M997" s="1359"/>
      <c r="N997" s="1359"/>
      <c r="O997" s="1359"/>
      <c r="P997" s="1359"/>
      <c r="Q997" s="1359"/>
      <c r="R997" s="1360"/>
      <c r="S997" s="1358" t="s">
        <v>40</v>
      </c>
      <c r="T997" s="1361"/>
    </row>
    <row r="998" spans="1:20" ht="11.25" hidden="1" customHeight="1" x14ac:dyDescent="0.35">
      <c r="A998" s="1363"/>
      <c r="B998" s="1358"/>
      <c r="C998" s="1358" t="s">
        <v>1425</v>
      </c>
      <c r="D998" s="1358"/>
      <c r="E998" s="1358" t="s">
        <v>1433</v>
      </c>
      <c r="F998" s="1362"/>
      <c r="G998" s="1359"/>
      <c r="H998" s="1359"/>
      <c r="I998" s="1359"/>
      <c r="J998" s="1359"/>
      <c r="K998" s="1359"/>
      <c r="L998" s="1359"/>
      <c r="M998" s="1359"/>
      <c r="N998" s="1359"/>
      <c r="O998" s="1359"/>
      <c r="P998" s="1359"/>
      <c r="Q998" s="1359"/>
      <c r="R998" s="1360"/>
      <c r="S998" s="1358" t="s">
        <v>40</v>
      </c>
      <c r="T998" s="1361"/>
    </row>
    <row r="999" spans="1:20" ht="11.25" hidden="1" customHeight="1" x14ac:dyDescent="0.35">
      <c r="A999" s="1363"/>
      <c r="B999" s="1358"/>
      <c r="C999" s="1358" t="s">
        <v>1427</v>
      </c>
      <c r="D999" s="1358"/>
      <c r="E999" s="1358" t="s">
        <v>1434</v>
      </c>
      <c r="F999" s="1362"/>
      <c r="G999" s="1359"/>
      <c r="H999" s="1359"/>
      <c r="I999" s="1359"/>
      <c r="J999" s="1359"/>
      <c r="K999" s="1359"/>
      <c r="L999" s="1359"/>
      <c r="M999" s="1359"/>
      <c r="N999" s="1359"/>
      <c r="O999" s="1359"/>
      <c r="P999" s="1359"/>
      <c r="Q999" s="1359"/>
      <c r="R999" s="1360"/>
      <c r="S999" s="1358" t="s">
        <v>40</v>
      </c>
      <c r="T999" s="1361"/>
    </row>
    <row r="1000" spans="1:20" ht="11.25" hidden="1" customHeight="1" x14ac:dyDescent="0.35">
      <c r="A1000" s="1363"/>
      <c r="B1000" s="1358"/>
      <c r="C1000" s="1358" t="s">
        <v>1429</v>
      </c>
      <c r="D1000" s="1358"/>
      <c r="E1000" s="1358" t="s">
        <v>1435</v>
      </c>
      <c r="F1000" s="1362"/>
      <c r="G1000" s="1359"/>
      <c r="H1000" s="1359"/>
      <c r="I1000" s="1359"/>
      <c r="J1000" s="1359"/>
      <c r="K1000" s="1359"/>
      <c r="L1000" s="1359"/>
      <c r="M1000" s="1359"/>
      <c r="N1000" s="1359"/>
      <c r="O1000" s="1359"/>
      <c r="P1000" s="1359"/>
      <c r="Q1000" s="1359"/>
      <c r="R1000" s="1360"/>
      <c r="S1000" s="1358" t="s">
        <v>40</v>
      </c>
      <c r="T1000" s="1361"/>
    </row>
    <row r="1001" spans="1:20" ht="11.25" hidden="1" customHeight="1" x14ac:dyDescent="0.35">
      <c r="A1001" s="1363"/>
      <c r="B1001" s="1358"/>
      <c r="C1001" s="1358" t="s">
        <v>1436</v>
      </c>
      <c r="D1001" s="1358" t="s">
        <v>1437</v>
      </c>
      <c r="E1001" s="1358" t="s">
        <v>1438</v>
      </c>
      <c r="F1001" s="1362"/>
      <c r="G1001" s="1359">
        <f ca="1">G$993*IF(G$5&lt;CalcPoint,IF(DontCompound=1,1,(1+IF(VariableRate=1,G$1062,DiscMonth))^G$1064),1/((1+IF(VariableRate=1,G$1062,DiscMonth))^G$1064))</f>
        <v>0</v>
      </c>
      <c r="H1001" s="1359">
        <f t="shared" ref="H1001:P1001" ca="1" si="715">H$993*IF(H$5&lt;=CalcPoint,IF(DontCompound=1,1,(1+IF(VariableRate=1,H$1062,DiscMonth))^IF(MYDisc,H$1066,H$1064)),1/((1+IF(VariableRate=1,H$1062,DiscMonth))^IF(MYDisc,H$1066,H$1064)))</f>
        <v>-1496612.746838467</v>
      </c>
      <c r="I1001" s="1359">
        <f t="shared" ca="1" si="715"/>
        <v>-497744.38088875136</v>
      </c>
      <c r="J1001" s="1359">
        <f t="shared" ca="1" si="715"/>
        <v>-347634.27304915222</v>
      </c>
      <c r="K1001" s="1359">
        <f t="shared" ca="1" si="715"/>
        <v>-346849.2561888569</v>
      </c>
      <c r="L1001" s="1359">
        <f t="shared" ca="1" si="715"/>
        <v>0</v>
      </c>
      <c r="M1001" s="1359">
        <f t="shared" ca="1" si="715"/>
        <v>-84479.546045100287</v>
      </c>
      <c r="N1001" s="1359">
        <f t="shared" ca="1" si="715"/>
        <v>0</v>
      </c>
      <c r="O1001" s="1359">
        <f t="shared" ca="1" si="715"/>
        <v>-40009.020095831867</v>
      </c>
      <c r="P1001" s="1359">
        <f t="shared" ca="1" si="715"/>
        <v>0</v>
      </c>
      <c r="Q1001" s="1359"/>
      <c r="R1001" s="1360"/>
      <c r="S1001" s="1358" t="s">
        <v>40</v>
      </c>
      <c r="T1001" s="1361"/>
    </row>
    <row r="1002" spans="1:20" ht="11.25" hidden="1" customHeight="1" x14ac:dyDescent="0.35">
      <c r="A1002" s="1363"/>
      <c r="B1002" s="1358"/>
      <c r="C1002" s="1358" t="s">
        <v>1439</v>
      </c>
      <c r="D1002" s="1358"/>
      <c r="E1002" s="1358" t="s">
        <v>1440</v>
      </c>
      <c r="F1002" s="1362"/>
      <c r="G1002" s="1359">
        <f>(G$994+G$998)*IF(G$5&lt;CalcPoint,IF(DontCompound=1,1,(1+IF(VariableRate=1,G$1062,DiscMonth))^G$1064),1/((1+IF(VariableRate=1,G$1062,DiscMonth))^G$1064))</f>
        <v>0</v>
      </c>
      <c r="H1002" s="1359">
        <f t="shared" ref="H1002:P1002" si="716">(H$994+H$998)*IF(H$5&lt;=CalcPoint,IF(DontCompound=1,1,(1+IF(VariableRate=1,H$1062,DiscMonth))^IF(MYDisc,H$1066,H$1064)),1/((1+IF(VariableRate=1,H$1062,DiscMonth))^IF(MYDisc,H$1066,H$1064)))</f>
        <v>0</v>
      </c>
      <c r="I1002" s="1359">
        <f t="shared" si="716"/>
        <v>0</v>
      </c>
      <c r="J1002" s="1359">
        <f t="shared" si="716"/>
        <v>0</v>
      </c>
      <c r="K1002" s="1359">
        <f t="shared" si="716"/>
        <v>0</v>
      </c>
      <c r="L1002" s="1359">
        <f t="shared" si="716"/>
        <v>0</v>
      </c>
      <c r="M1002" s="1359">
        <f t="shared" si="716"/>
        <v>0</v>
      </c>
      <c r="N1002" s="1359">
        <f t="shared" si="716"/>
        <v>0</v>
      </c>
      <c r="O1002" s="1359">
        <f t="shared" si="716"/>
        <v>0</v>
      </c>
      <c r="P1002" s="1359">
        <f t="shared" si="716"/>
        <v>0</v>
      </c>
      <c r="Q1002" s="1359"/>
      <c r="R1002" s="1360"/>
      <c r="S1002" s="1358" t="s">
        <v>40</v>
      </c>
      <c r="T1002" s="1361"/>
    </row>
    <row r="1003" spans="1:20" ht="11.25" hidden="1" customHeight="1" x14ac:dyDescent="0.35">
      <c r="A1003" s="1363"/>
      <c r="B1003" s="1358"/>
      <c r="C1003" s="1358" t="s">
        <v>1441</v>
      </c>
      <c r="D1003" s="1358"/>
      <c r="E1003" s="1358" t="s">
        <v>1442</v>
      </c>
      <c r="F1003" s="1362"/>
      <c r="G1003" s="1359">
        <f>G$997*IF(G$5&lt;CalcPoint,IF(DontCompound=1,1,(1+IF(VariableRate=1,G$1062,DiscMonth))^G$1064),1/((1+IF(VariableRate=1,G$1062,DiscMonth))^G$1064))</f>
        <v>0</v>
      </c>
      <c r="H1003" s="1359">
        <f t="shared" ref="H1003:P1003" si="717">H$997*IF(H$5&lt;=CalcPoint,IF(DontCompound=1,1,(1+IF(VariableRate=1,H$1062,DiscMonth))^IF(MYDisc,H$1066,H$1064)),1/((1+IF(VariableRate=1,H$1062,DiscMonth))^H$1064))</f>
        <v>0</v>
      </c>
      <c r="I1003" s="1359">
        <f t="shared" si="717"/>
        <v>0</v>
      </c>
      <c r="J1003" s="1359">
        <f t="shared" si="717"/>
        <v>0</v>
      </c>
      <c r="K1003" s="1359">
        <f t="shared" si="717"/>
        <v>0</v>
      </c>
      <c r="L1003" s="1359">
        <f t="shared" si="717"/>
        <v>0</v>
      </c>
      <c r="M1003" s="1359">
        <f t="shared" si="717"/>
        <v>0</v>
      </c>
      <c r="N1003" s="1359">
        <f t="shared" si="717"/>
        <v>0</v>
      </c>
      <c r="O1003" s="1359">
        <f t="shared" si="717"/>
        <v>0</v>
      </c>
      <c r="P1003" s="1359">
        <f t="shared" si="717"/>
        <v>0</v>
      </c>
      <c r="Q1003" s="1359"/>
      <c r="R1003" s="1360"/>
      <c r="S1003" s="1358" t="s">
        <v>40</v>
      </c>
      <c r="T1003" s="1361"/>
    </row>
    <row r="1004" spans="1:20" ht="11.25" hidden="1" customHeight="1" x14ac:dyDescent="0.35">
      <c r="A1004" s="1363"/>
      <c r="B1004" s="1358"/>
      <c r="C1004" s="1358" t="s">
        <v>1443</v>
      </c>
      <c r="D1004" s="1358"/>
      <c r="E1004" s="1358" t="s">
        <v>1444</v>
      </c>
      <c r="F1004" s="1362"/>
      <c r="G1004" s="1359">
        <f>(G$995+G$996+G$999+G$1000)*IF(G$5&lt;CalcPoint,IF(DontCompound=1,1,(1+IF(VariableRate=1,G$1062,DiscMonth))^G$1064),1/((1+IF(VariableRate=1,G$1062,DiscMonth))^G$1064))</f>
        <v>0</v>
      </c>
      <c r="H1004" s="1359">
        <f t="shared" ref="H1004:P1004" si="718">(H$995+H$996+H$999+H$1000)*IF(H$5&lt;=CalcPoint,IF(DontCompound=1,1,(1+IF(VariableRate=1,H$1062,DiscMonth))^IF(MYDisc,H$1066,H$1064)),1/((1+IF(VariableRate=1,H$1062,DiscMonth))^IF(MYDisc,H$1066,H$1064)))</f>
        <v>0</v>
      </c>
      <c r="I1004" s="1359">
        <f t="shared" si="718"/>
        <v>0</v>
      </c>
      <c r="J1004" s="1359">
        <f t="shared" si="718"/>
        <v>0</v>
      </c>
      <c r="K1004" s="1359">
        <f t="shared" si="718"/>
        <v>0</v>
      </c>
      <c r="L1004" s="1359">
        <f t="shared" si="718"/>
        <v>0</v>
      </c>
      <c r="M1004" s="1359">
        <f t="shared" si="718"/>
        <v>0</v>
      </c>
      <c r="N1004" s="1359">
        <f t="shared" si="718"/>
        <v>0</v>
      </c>
      <c r="O1004" s="1359">
        <f t="shared" si="718"/>
        <v>0</v>
      </c>
      <c r="P1004" s="1359">
        <f t="shared" si="718"/>
        <v>0</v>
      </c>
      <c r="Q1004" s="1359"/>
      <c r="R1004" s="1360"/>
      <c r="S1004" s="1358" t="s">
        <v>40</v>
      </c>
      <c r="T1004" s="1361"/>
    </row>
    <row r="1005" spans="1:20" ht="11.25" hidden="1" customHeight="1" x14ac:dyDescent="0.35">
      <c r="A1005" s="1364"/>
      <c r="B1005" s="1358"/>
      <c r="C1005" s="1358" t="s">
        <v>1422</v>
      </c>
      <c r="D1005" s="1358" t="s">
        <v>1445</v>
      </c>
      <c r="E1005" s="1358" t="s">
        <v>1446</v>
      </c>
      <c r="F1005" s="1362"/>
      <c r="G1005" s="1359"/>
      <c r="H1005" s="1359"/>
      <c r="I1005" s="1359"/>
      <c r="J1005" s="1359"/>
      <c r="K1005" s="1359"/>
      <c r="L1005" s="1359"/>
      <c r="M1005" s="1359"/>
      <c r="N1005" s="1359"/>
      <c r="O1005" s="1359"/>
      <c r="P1005" s="1359"/>
      <c r="Q1005" s="1359"/>
      <c r="R1005" s="1360"/>
      <c r="S1005" s="1358" t="s">
        <v>40</v>
      </c>
      <c r="T1005" s="1361"/>
    </row>
    <row r="1006" spans="1:20" ht="11.25" hidden="1" customHeight="1" x14ac:dyDescent="0.35">
      <c r="A1006" s="1363"/>
      <c r="B1006" s="1358"/>
      <c r="C1006" s="1358" t="s">
        <v>1425</v>
      </c>
      <c r="D1006" s="1358"/>
      <c r="E1006" s="1358" t="s">
        <v>1447</v>
      </c>
      <c r="F1006" s="1362"/>
      <c r="G1006" s="1359"/>
      <c r="H1006" s="1359"/>
      <c r="I1006" s="1359"/>
      <c r="J1006" s="1359"/>
      <c r="K1006" s="1359"/>
      <c r="L1006" s="1359"/>
      <c r="M1006" s="1359"/>
      <c r="N1006" s="1359"/>
      <c r="O1006" s="1359"/>
      <c r="P1006" s="1359"/>
      <c r="Q1006" s="1359"/>
      <c r="R1006" s="1360"/>
      <c r="S1006" s="1358" t="s">
        <v>40</v>
      </c>
      <c r="T1006" s="1361"/>
    </row>
    <row r="1007" spans="1:20" ht="11.25" hidden="1" customHeight="1" x14ac:dyDescent="0.35">
      <c r="A1007" s="1363"/>
      <c r="B1007" s="1358"/>
      <c r="C1007" s="1358" t="s">
        <v>1427</v>
      </c>
      <c r="D1007" s="1358"/>
      <c r="E1007" s="1358" t="s">
        <v>1448</v>
      </c>
      <c r="F1007" s="1362"/>
      <c r="G1007" s="1359"/>
      <c r="H1007" s="1359"/>
      <c r="I1007" s="1359"/>
      <c r="J1007" s="1359"/>
      <c r="K1007" s="1359"/>
      <c r="L1007" s="1359"/>
      <c r="M1007" s="1359"/>
      <c r="N1007" s="1359"/>
      <c r="O1007" s="1359"/>
      <c r="P1007" s="1359"/>
      <c r="Q1007" s="1359"/>
      <c r="R1007" s="1360"/>
      <c r="S1007" s="1358" t="s">
        <v>40</v>
      </c>
      <c r="T1007" s="1361"/>
    </row>
    <row r="1008" spans="1:20" ht="11.25" hidden="1" customHeight="1" x14ac:dyDescent="0.35">
      <c r="A1008" s="1363"/>
      <c r="B1008" s="1358"/>
      <c r="C1008" s="1358" t="s">
        <v>1429</v>
      </c>
      <c r="D1008" s="1358"/>
      <c r="E1008" s="1358" t="s">
        <v>1449</v>
      </c>
      <c r="F1008" s="1362"/>
      <c r="G1008" s="1359"/>
      <c r="H1008" s="1359"/>
      <c r="I1008" s="1359"/>
      <c r="J1008" s="1359"/>
      <c r="K1008" s="1359"/>
      <c r="L1008" s="1359"/>
      <c r="M1008" s="1359"/>
      <c r="N1008" s="1359"/>
      <c r="O1008" s="1359"/>
      <c r="P1008" s="1359"/>
      <c r="Q1008" s="1359"/>
      <c r="R1008" s="1360"/>
      <c r="S1008" s="1358" t="s">
        <v>40</v>
      </c>
      <c r="T1008" s="1361"/>
    </row>
    <row r="1009" spans="1:20" ht="11.25" hidden="1" customHeight="1" x14ac:dyDescent="0.35">
      <c r="A1009" s="1363"/>
      <c r="B1009" s="1358"/>
      <c r="C1009" s="1358" t="s">
        <v>1422</v>
      </c>
      <c r="D1009" s="1358" t="s">
        <v>1450</v>
      </c>
      <c r="E1009" s="1358" t="s">
        <v>1451</v>
      </c>
      <c r="F1009" s="1362"/>
      <c r="G1009" s="1359"/>
      <c r="H1009" s="1359"/>
      <c r="I1009" s="1359"/>
      <c r="J1009" s="1359"/>
      <c r="K1009" s="1359"/>
      <c r="L1009" s="1359"/>
      <c r="M1009" s="1359"/>
      <c r="N1009" s="1359"/>
      <c r="O1009" s="1359"/>
      <c r="P1009" s="1359"/>
      <c r="Q1009" s="1359"/>
      <c r="R1009" s="1360"/>
      <c r="S1009" s="1358" t="s">
        <v>40</v>
      </c>
      <c r="T1009" s="1361"/>
    </row>
    <row r="1010" spans="1:20" ht="11.25" hidden="1" customHeight="1" x14ac:dyDescent="0.35">
      <c r="A1010" s="1363"/>
      <c r="B1010" s="1358"/>
      <c r="C1010" s="1358" t="s">
        <v>1425</v>
      </c>
      <c r="D1010" s="1358"/>
      <c r="E1010" s="1358" t="s">
        <v>1452</v>
      </c>
      <c r="F1010" s="1362"/>
      <c r="G1010" s="1359"/>
      <c r="H1010" s="1359"/>
      <c r="I1010" s="1359"/>
      <c r="J1010" s="1359"/>
      <c r="K1010" s="1359"/>
      <c r="L1010" s="1359"/>
      <c r="M1010" s="1359"/>
      <c r="N1010" s="1359"/>
      <c r="O1010" s="1359"/>
      <c r="P1010" s="1359"/>
      <c r="Q1010" s="1359"/>
      <c r="R1010" s="1360"/>
      <c r="S1010" s="1358" t="s">
        <v>40</v>
      </c>
      <c r="T1010" s="1361"/>
    </row>
    <row r="1011" spans="1:20" ht="11.25" hidden="1" customHeight="1" x14ac:dyDescent="0.35">
      <c r="A1011" s="1363"/>
      <c r="B1011" s="1358"/>
      <c r="C1011" s="1358" t="s">
        <v>1427</v>
      </c>
      <c r="D1011" s="1358"/>
      <c r="E1011" s="1358" t="s">
        <v>1453</v>
      </c>
      <c r="F1011" s="1362"/>
      <c r="G1011" s="1359"/>
      <c r="H1011" s="1359"/>
      <c r="I1011" s="1359"/>
      <c r="J1011" s="1359"/>
      <c r="K1011" s="1359"/>
      <c r="L1011" s="1359"/>
      <c r="M1011" s="1359"/>
      <c r="N1011" s="1359"/>
      <c r="O1011" s="1359"/>
      <c r="P1011" s="1359"/>
      <c r="Q1011" s="1359"/>
      <c r="R1011" s="1360"/>
      <c r="S1011" s="1358" t="s">
        <v>40</v>
      </c>
      <c r="T1011" s="1361"/>
    </row>
    <row r="1012" spans="1:20" ht="11.25" hidden="1" customHeight="1" x14ac:dyDescent="0.35">
      <c r="A1012" s="1363"/>
      <c r="B1012" s="1358"/>
      <c r="C1012" s="1358" t="s">
        <v>1429</v>
      </c>
      <c r="D1012" s="1358"/>
      <c r="E1012" s="1358" t="s">
        <v>1454</v>
      </c>
      <c r="F1012" s="1362"/>
      <c r="G1012" s="1359"/>
      <c r="H1012" s="1359"/>
      <c r="I1012" s="1359"/>
      <c r="J1012" s="1359"/>
      <c r="K1012" s="1359"/>
      <c r="L1012" s="1359"/>
      <c r="M1012" s="1359"/>
      <c r="N1012" s="1359"/>
      <c r="O1012" s="1359"/>
      <c r="P1012" s="1359"/>
      <c r="Q1012" s="1359"/>
      <c r="R1012" s="1360"/>
      <c r="S1012" s="1358" t="s">
        <v>40</v>
      </c>
      <c r="T1012" s="1361"/>
    </row>
    <row r="1013" spans="1:20" ht="11.25" hidden="1" customHeight="1" x14ac:dyDescent="0.35">
      <c r="A1013" s="1363"/>
      <c r="B1013" s="1358"/>
      <c r="C1013" s="1358" t="s">
        <v>1436</v>
      </c>
      <c r="D1013" s="1358" t="s">
        <v>1455</v>
      </c>
      <c r="E1013" s="1358" t="s">
        <v>1456</v>
      </c>
      <c r="F1013" s="1362"/>
      <c r="G1013" s="1359"/>
      <c r="H1013" s="1359"/>
      <c r="I1013" s="1359"/>
      <c r="J1013" s="1359"/>
      <c r="K1013" s="1359"/>
      <c r="L1013" s="1359"/>
      <c r="M1013" s="1359"/>
      <c r="N1013" s="1359"/>
      <c r="O1013" s="1359"/>
      <c r="P1013" s="1359"/>
      <c r="Q1013" s="1359"/>
      <c r="R1013" s="1360"/>
      <c r="S1013" s="1358" t="s">
        <v>40</v>
      </c>
      <c r="T1013" s="1361"/>
    </row>
    <row r="1014" spans="1:20" ht="11.25" hidden="1" customHeight="1" x14ac:dyDescent="0.35">
      <c r="A1014" s="1363"/>
      <c r="B1014" s="1358"/>
      <c r="C1014" s="1358" t="s">
        <v>1439</v>
      </c>
      <c r="D1014" s="1358"/>
      <c r="E1014" s="1358" t="s">
        <v>1457</v>
      </c>
      <c r="F1014" s="1362"/>
      <c r="G1014" s="1359"/>
      <c r="H1014" s="1359"/>
      <c r="I1014" s="1359"/>
      <c r="J1014" s="1359"/>
      <c r="K1014" s="1359"/>
      <c r="L1014" s="1359"/>
      <c r="M1014" s="1359"/>
      <c r="N1014" s="1359"/>
      <c r="O1014" s="1359"/>
      <c r="P1014" s="1359"/>
      <c r="Q1014" s="1359"/>
      <c r="R1014" s="1360"/>
      <c r="S1014" s="1358" t="s">
        <v>40</v>
      </c>
      <c r="T1014" s="1361"/>
    </row>
    <row r="1015" spans="1:20" ht="11.25" hidden="1" customHeight="1" x14ac:dyDescent="0.35">
      <c r="A1015" s="1363"/>
      <c r="B1015" s="1358"/>
      <c r="C1015" s="1358" t="s">
        <v>1441</v>
      </c>
      <c r="D1015" s="1358"/>
      <c r="E1015" s="1358" t="s">
        <v>1458</v>
      </c>
      <c r="F1015" s="1362"/>
      <c r="G1015" s="1359"/>
      <c r="H1015" s="1359"/>
      <c r="I1015" s="1359"/>
      <c r="J1015" s="1359"/>
      <c r="K1015" s="1359"/>
      <c r="L1015" s="1359"/>
      <c r="M1015" s="1359"/>
      <c r="N1015" s="1359"/>
      <c r="O1015" s="1359"/>
      <c r="P1015" s="1359"/>
      <c r="Q1015" s="1359"/>
      <c r="R1015" s="1360"/>
      <c r="S1015" s="1358" t="s">
        <v>40</v>
      </c>
      <c r="T1015" s="1361"/>
    </row>
    <row r="1016" spans="1:20" ht="11.25" hidden="1" customHeight="1" x14ac:dyDescent="0.35">
      <c r="A1016" s="1363"/>
      <c r="B1016" s="1358"/>
      <c r="C1016" s="1358" t="s">
        <v>1443</v>
      </c>
      <c r="D1016" s="1358"/>
      <c r="E1016" s="1358" t="s">
        <v>1459</v>
      </c>
      <c r="F1016" s="1362"/>
      <c r="G1016" s="1359"/>
      <c r="H1016" s="1359"/>
      <c r="I1016" s="1359"/>
      <c r="J1016" s="1359"/>
      <c r="K1016" s="1359"/>
      <c r="L1016" s="1359"/>
      <c r="M1016" s="1359"/>
      <c r="N1016" s="1359"/>
      <c r="O1016" s="1359"/>
      <c r="P1016" s="1359"/>
      <c r="Q1016" s="1359"/>
      <c r="R1016" s="1360"/>
      <c r="S1016" s="1358" t="s">
        <v>40</v>
      </c>
      <c r="T1016" s="1361"/>
    </row>
    <row r="1017" spans="1:20" ht="11.25" hidden="1" customHeight="1" x14ac:dyDescent="0.35">
      <c r="A1017" s="1363"/>
      <c r="B1017" s="1358"/>
      <c r="C1017" s="1358" t="s">
        <v>1460</v>
      </c>
      <c r="D1017" s="1358"/>
      <c r="E1017" s="1358" t="s">
        <v>1461</v>
      </c>
      <c r="F1017" s="1362"/>
      <c r="G1017" s="1359">
        <f ca="1">G318-SUM(G993:G996)</f>
        <v>0</v>
      </c>
      <c r="H1017" s="1359">
        <f t="shared" ref="H1017:L1017" ca="1" si="719">H318-SUM(H993:H996)</f>
        <v>0</v>
      </c>
      <c r="I1017" s="1359">
        <f t="shared" ca="1" si="719"/>
        <v>0</v>
      </c>
      <c r="J1017" s="1359">
        <f t="shared" ca="1" si="719"/>
        <v>0</v>
      </c>
      <c r="K1017" s="1359">
        <f t="shared" ca="1" si="719"/>
        <v>0</v>
      </c>
      <c r="L1017" s="1359">
        <f t="shared" ca="1" si="719"/>
        <v>0</v>
      </c>
      <c r="M1017" s="1359">
        <f t="shared" ref="M1017:N1017" ca="1" si="720">M318-SUM(M993:M996)</f>
        <v>0</v>
      </c>
      <c r="N1017" s="1359">
        <f t="shared" ca="1" si="720"/>
        <v>0</v>
      </c>
      <c r="O1017" s="1359">
        <f t="shared" ref="O1017:P1017" ca="1" si="721">O318-SUM(O993:O996)</f>
        <v>0</v>
      </c>
      <c r="P1017" s="1359">
        <f t="shared" ca="1" si="721"/>
        <v>0</v>
      </c>
      <c r="Q1017" s="1359"/>
      <c r="R1017" s="1360"/>
      <c r="S1017" s="1358" t="s">
        <v>40</v>
      </c>
      <c r="T1017" s="1361"/>
    </row>
    <row r="1018" spans="1:20" ht="11.25" hidden="1" customHeight="1" x14ac:dyDescent="0.35">
      <c r="A1018" s="1363"/>
      <c r="B1018" s="1358"/>
      <c r="C1018" s="1358" t="s">
        <v>1462</v>
      </c>
      <c r="D1018" s="1358"/>
      <c r="E1018" s="1358" t="s">
        <v>1463</v>
      </c>
      <c r="F1018" s="1362"/>
      <c r="G1018" s="1359">
        <f ca="1">G1017*IF(G$5&lt;CalcPoint,IF(DontCompound=1,1,(1+IF(VariableRate=1,G$1062,DiscMonth))^G$1064),1/((1+IF(VariableRate=1,G$1062,DiscMonth))^G$1064))</f>
        <v>0</v>
      </c>
      <c r="H1018" s="1359">
        <f t="shared" ref="H1018:P1018" ca="1" si="722">H1017*IF(H$5&lt;=CalcPoint,IF(DontCompound=1,1,(1+IF(VariableRate=1,H$1062,DiscMonth))^IF(MYDisc,H$1066,H$1064)),1/((1+IF(VariableRate=1,H$1062,DiscMonth))^IF(MYDisc,H$1066,H$1064)))</f>
        <v>0</v>
      </c>
      <c r="I1018" s="1359">
        <f t="shared" ca="1" si="722"/>
        <v>0</v>
      </c>
      <c r="J1018" s="1359">
        <f t="shared" ca="1" si="722"/>
        <v>0</v>
      </c>
      <c r="K1018" s="1359">
        <f t="shared" ca="1" si="722"/>
        <v>0</v>
      </c>
      <c r="L1018" s="1359">
        <f t="shared" ca="1" si="722"/>
        <v>0</v>
      </c>
      <c r="M1018" s="1359">
        <f t="shared" ca="1" si="722"/>
        <v>0</v>
      </c>
      <c r="N1018" s="1359">
        <f t="shared" ca="1" si="722"/>
        <v>0</v>
      </c>
      <c r="O1018" s="1359">
        <f t="shared" ca="1" si="722"/>
        <v>0</v>
      </c>
      <c r="P1018" s="1359">
        <f t="shared" ca="1" si="722"/>
        <v>0</v>
      </c>
      <c r="Q1018" s="1359"/>
      <c r="R1018" s="1360"/>
      <c r="S1018" s="1358" t="s">
        <v>40</v>
      </c>
      <c r="T1018" s="1361"/>
    </row>
    <row r="1019" spans="1:20" ht="11.25" hidden="1" customHeight="1" x14ac:dyDescent="0.35">
      <c r="A1019" s="319"/>
      <c r="B1019" s="1358" t="s">
        <v>893</v>
      </c>
      <c r="C1019" s="1358"/>
      <c r="D1019" s="1358"/>
      <c r="E1019" s="1358" t="s">
        <v>1464</v>
      </c>
      <c r="F1019" s="1365">
        <f ca="1">SUM(CHOOSE(RonaCG,F$515,F$531))</f>
        <v>0</v>
      </c>
      <c r="G1019" s="1365"/>
      <c r="H1019" s="1365">
        <f t="shared" ref="H1019:P1019" si="723">SUM(CHOOSE(RonaCG,H$515,H$531))</f>
        <v>0</v>
      </c>
      <c r="I1019" s="1365">
        <f t="shared" si="723"/>
        <v>0</v>
      </c>
      <c r="J1019" s="1365">
        <f t="shared" si="723"/>
        <v>0</v>
      </c>
      <c r="K1019" s="1365">
        <f t="shared" ca="1" si="723"/>
        <v>6.893355284252442E-2</v>
      </c>
      <c r="L1019" s="1365">
        <f t="shared" ca="1" si="723"/>
        <v>0.41055818682691603</v>
      </c>
      <c r="M1019" s="1365">
        <f t="shared" ca="1" si="723"/>
        <v>0.650793771043499</v>
      </c>
      <c r="N1019" s="1365">
        <f t="shared" ca="1" si="723"/>
        <v>0.90148569997215833</v>
      </c>
      <c r="O1019" s="1365">
        <f t="shared" ca="1" si="723"/>
        <v>1.1539596184408369</v>
      </c>
      <c r="P1019" s="1365">
        <f t="shared" ca="1" si="723"/>
        <v>1.3993931984172201</v>
      </c>
      <c r="Q1019" s="1365"/>
      <c r="R1019" s="1360"/>
      <c r="S1019" s="1358" t="s">
        <v>40</v>
      </c>
      <c r="T1019" s="1361"/>
    </row>
    <row r="1020" spans="1:20" ht="11.25" hidden="1" customHeight="1" x14ac:dyDescent="0.35">
      <c r="A1020" s="319"/>
      <c r="B1020" s="1358" t="s">
        <v>895</v>
      </c>
      <c r="C1020" s="1358"/>
      <c r="D1020" s="1358"/>
      <c r="E1020" s="1358" t="s">
        <v>1465</v>
      </c>
      <c r="F1020" s="1366">
        <f ca="1">SUM(CHOOSE(EvaCG,F$516,F$532))</f>
        <v>0</v>
      </c>
      <c r="G1020" s="1366"/>
      <c r="H1020" s="1366">
        <f t="shared" ref="H1020:P1020" ca="1" si="724">SUM(CHOOSE(EvaCG,H$516,H$532))</f>
        <v>0</v>
      </c>
      <c r="I1020" s="1366">
        <f t="shared" ca="1" si="724"/>
        <v>0</v>
      </c>
      <c r="J1020" s="1366">
        <f t="shared" ca="1" si="724"/>
        <v>0</v>
      </c>
      <c r="K1020" s="1366">
        <f t="shared" ca="1" si="724"/>
        <v>91720.626195630175</v>
      </c>
      <c r="L1020" s="1366">
        <f t="shared" ca="1" si="724"/>
        <v>1098354.7365340514</v>
      </c>
      <c r="M1020" s="1366">
        <f t="shared" ca="1" si="724"/>
        <v>1832983.9249678</v>
      </c>
      <c r="N1020" s="1366">
        <f t="shared" ca="1" si="724"/>
        <v>2728273.8539839927</v>
      </c>
      <c r="O1020" s="1366">
        <f t="shared" ca="1" si="724"/>
        <v>3800357.5016479669</v>
      </c>
      <c r="P1020" s="1366">
        <f t="shared" ca="1" si="724"/>
        <v>5110502.7866256945</v>
      </c>
      <c r="Q1020" s="1366"/>
      <c r="R1020" s="1360"/>
      <c r="S1020" s="1358" t="s">
        <v>40</v>
      </c>
      <c r="T1020" s="1361"/>
    </row>
    <row r="1021" spans="1:20" ht="11.25" hidden="1" customHeight="1" x14ac:dyDescent="0.35">
      <c r="A1021" s="319"/>
      <c r="B1021" s="1358"/>
      <c r="C1021" s="1358"/>
      <c r="D1021" s="1358"/>
      <c r="E1021" s="1358" t="s">
        <v>1466</v>
      </c>
      <c r="F1021" s="1362"/>
      <c r="G1021" s="1362"/>
      <c r="H1021" s="1362">
        <f ca="1">SUMIF($G6:OFFSET(H6,0,-1),"*"&amp;TEXT(FinMonth,"00")&amp;TEXT(FinMonth,"00")&amp;H3-1,$G772:OFFSET(H772,0,-1))+SUMIF($G6:OFFSET(H6,0,-1),"*"&amp;TEXT(FinMonth,"00")&amp;TEXT(FinMonth,"00")&amp;H3-1,$G626:OFFSET(H626,0,-1))</f>
        <v>0</v>
      </c>
      <c r="I1021" s="1362">
        <f ca="1">SUMIF($G6:OFFSET(I6,0,-1),"*"&amp;TEXT(FinMonth,"00")&amp;TEXT(FinMonth,"00")&amp;I3-1,$G772:OFFSET(I772,0,-1))+SUMIF($G6:OFFSET(I6,0,-1),"*"&amp;TEXT(FinMonth,"00")&amp;TEXT(FinMonth,"00")&amp;I3-1,$G626:OFFSET(I626,0,-1))</f>
        <v>0</v>
      </c>
      <c r="J1021" s="1362">
        <f ca="1">SUMIF($G6:OFFSET(J6,0,-1),"*"&amp;TEXT(FinMonth,"00")&amp;TEXT(FinMonth,"00")&amp;J3-1,$G772:OFFSET(J772,0,-1))+SUMIF($G6:OFFSET(J6,0,-1),"*"&amp;TEXT(FinMonth,"00")&amp;TEXT(FinMonth,"00")&amp;J3-1,$G626:OFFSET(J626,0,-1))</f>
        <v>0</v>
      </c>
      <c r="K1021" s="1362">
        <f ca="1">SUMIF($G6:OFFSET(K6,0,-1),"*"&amp;TEXT(FinMonth,"00")&amp;TEXT(FinMonth,"00")&amp;K3-1,$G772:OFFSET(K772,0,-1))+SUMIF($G6:OFFSET(K6,0,-1),"*"&amp;TEXT(FinMonth,"00")&amp;TEXT(FinMonth,"00")&amp;K3-1,$G626:OFFSET(K626,0,-1))</f>
        <v>0</v>
      </c>
      <c r="L1021" s="1362">
        <f ca="1">SUMIF($G6:OFFSET(L6,0,-1),"*"&amp;TEXT(FinMonth,"00")&amp;TEXT(FinMonth,"00")&amp;L3-1,$G772:OFFSET(L772,0,-1))+SUMIF($G6:OFFSET(L6,0,-1),"*"&amp;TEXT(FinMonth,"00")&amp;TEXT(FinMonth,"00")&amp;L3-1,$G626:OFFSET(L626,0,-1))</f>
        <v>11384869.865631962</v>
      </c>
      <c r="M1021" s="1362">
        <f ca="1">SUMIF($G6:OFFSET(M6,0,-1),"*"&amp;TEXT(FinMonth,"00")&amp;TEXT(FinMonth,"00")&amp;M3-1,$G772:OFFSET(M772,0,-1))+SUMIF($G6:OFFSET(M6,0,-1),"*"&amp;TEXT(FinMonth,"00")&amp;TEXT(FinMonth,"00")&amp;M3-1,$G626:OFFSET(M626,0,-1))</f>
        <v>4049337.662935569</v>
      </c>
      <c r="N1021" s="1362">
        <f ca="1">SUMIF($G6:OFFSET(N6,0,-1),"*"&amp;TEXT(FinMonth,"00")&amp;TEXT(FinMonth,"00")&amp;N3-1,$G772:OFFSET(N772,0,-1))+SUMIF($G6:OFFSET(N6,0,-1),"*"&amp;TEXT(FinMonth,"00")&amp;TEXT(FinMonth,"00")&amp;N3-1,$G626:OFFSET(N626,0,-1))</f>
        <v>4262166.7620960716</v>
      </c>
      <c r="O1021" s="1362">
        <f ca="1">SUMIF($G6:OFFSET(O6,0,-1),"*"&amp;TEXT(FinMonth,"00")&amp;TEXT(FinMonth,"00")&amp;O3-1,$G772:OFFSET(O772,0,-1))+SUMIF($G6:OFFSET(O6,0,-1),"*"&amp;TEXT(FinMonth,"00")&amp;TEXT(FinMonth,"00")&amp;O3-1,$G626:OFFSET(O626,0,-1))</f>
        <v>4516491.0023176875</v>
      </c>
      <c r="P1021" s="1362">
        <f ca="1">SUMIF($G6:OFFSET(P6,0,-1),"*"&amp;TEXT(FinMonth,"00")&amp;TEXT(FinMonth,"00")&amp;P3-1,$G772:OFFSET(P772,0,-1))+SUMIF($G6:OFFSET(P6,0,-1),"*"&amp;TEXT(FinMonth,"00")&amp;TEXT(FinMonth,"00")&amp;P3-1,$G626:OFFSET(P626,0,-1))</f>
        <v>4944772.7669016663</v>
      </c>
      <c r="Q1021" s="1362">
        <f ca="1">SUMIF($G6:OFFSET(Q6,0,-1),"*"&amp;TEXT(FinMonth,"00")&amp;TEXT(FinMonth,"00")&amp;Q3-1,$G772:OFFSET(Q772,0,-1))+SUMIF($G6:OFFSET(Q6,0,-1),"*"&amp;TEXT(FinMonth,"00")&amp;TEXT(FinMonth,"00")&amp;Q3-1,$G626:OFFSET(Q626,0,-1))</f>
        <v>4944772.7669016663</v>
      </c>
      <c r="R1021" s="1360"/>
      <c r="S1021" s="1358" t="s">
        <v>40</v>
      </c>
      <c r="T1021" s="1361"/>
    </row>
    <row r="1022" spans="1:20" ht="11.25" hidden="1" customHeight="1" x14ac:dyDescent="0.35">
      <c r="A1022" s="319"/>
      <c r="B1022" s="1358" t="s">
        <v>1467</v>
      </c>
      <c r="C1022" s="1358"/>
      <c r="D1022" s="1358"/>
      <c r="E1022" s="1358" t="s">
        <v>1468</v>
      </c>
      <c r="F1022" s="1359">
        <f ca="1">IF(ISNA(MATCH(TEXT(FinMonth,"00")&amp;"??"&amp;TEXT(FinMonth,"00")&amp;F$3-1,$A$6:OFFSET(F$6,0,-1),0)),0,MATCH(TEXT(FinMonth,"00")&amp;"??"&amp;TEXT(FinMonth,"00")&amp;F$3-1,$A$6:OFFSET(F$6,0,-1),0)-COLUMN(F$16))</f>
        <v>0</v>
      </c>
      <c r="G1022" s="1359"/>
      <c r="H1022" s="1359">
        <f ca="1">IF(AND(SUM($G$441:H$441)=12,$G$441=0),COLUMN($G1022)-COLUMN(H1022),IF(ISNA(MATCH(TEXT(FinMonth,"00")&amp;"??"&amp;TEXT(FinMonth,"00")&amp;H$3-1,$A$6:OFFSET(H$6,0,-1),0)),0,MATCH(TEXT(FinMonth,"00")&amp;"??"&amp;TEXT(FinMonth,"00")&amp;H$3-1,$A$6:OFFSET(H$6,0,-1),0)-COLUMN(H$16)))</f>
        <v>-2</v>
      </c>
      <c r="I1022" s="1359">
        <f ca="1">IF(AND(SUM($G$441:I$441)=12,$G$441=0),COLUMN($G1022)-COLUMN(I1022),IF(ISNA(MATCH(TEXT(FinMonth,"00")&amp;"??"&amp;TEXT(FinMonth,"00")&amp;I$3-1,$A$6:OFFSET(I$6,0,-1),0)),0,MATCH(TEXT(FinMonth,"00")&amp;"??"&amp;TEXT(FinMonth,"00")&amp;I$3-1,$A$6:OFFSET(I$6,0,-1),0)-COLUMN(I$16)))</f>
        <v>-3</v>
      </c>
      <c r="J1022" s="1359">
        <f ca="1">IF(AND(SUM($G$441:J$441)=12,$G$441=0),COLUMN($G1022)-COLUMN(J1022),IF(ISNA(MATCH(TEXT(FinMonth,"00")&amp;"??"&amp;TEXT(FinMonth,"00")&amp;J$3-1,$A$6:OFFSET(J$6,0,-1),0)),0,MATCH(TEXT(FinMonth,"00")&amp;"??"&amp;TEXT(FinMonth,"00")&amp;J$3-1,$A$6:OFFSET(J$6,0,-1),0)-COLUMN(J$16)))</f>
        <v>-4</v>
      </c>
      <c r="K1022" s="1359">
        <f ca="1">IF(AND(SUM($G$441:K$441)=12,$G$441=0),COLUMN($G1022)-COLUMN(K1022),IF(ISNA(MATCH(TEXT(FinMonth,"00")&amp;"??"&amp;TEXT(FinMonth,"00")&amp;K$3-1,$A$6:OFFSET(K$6,0,-1),0)),0,MATCH(TEXT(FinMonth,"00")&amp;"??"&amp;TEXT(FinMonth,"00")&amp;K$3-1,$A$6:OFFSET(K$6,0,-1),0)-COLUMN(K$16)))</f>
        <v>-5</v>
      </c>
      <c r="L1022" s="1359">
        <f ca="1">IF(AND(SUM($G$441:L$441)=12,$G$441=0),COLUMN($G1022)-COLUMN(L1022),IF(ISNA(MATCH(TEXT(FinMonth,"00")&amp;"??"&amp;TEXT(FinMonth,"00")&amp;L$3-1,$A$6:OFFSET(L$6,0,-1),0)),0,MATCH(TEXT(FinMonth,"00")&amp;"??"&amp;TEXT(FinMonth,"00")&amp;L$3-1,$A$6:OFFSET(L$6,0,-1),0)-COLUMN(L$16)))</f>
        <v>-1</v>
      </c>
      <c r="M1022" s="1359">
        <f ca="1">IF(AND(SUM($G$441:M$441)=12,$G$441=0),COLUMN($G1022)-COLUMN(M1022),IF(ISNA(MATCH(TEXT(FinMonth,"00")&amp;"??"&amp;TEXT(FinMonth,"00")&amp;M$3-1,$A$6:OFFSET(M$6,0,-1),0)),0,MATCH(TEXT(FinMonth,"00")&amp;"??"&amp;TEXT(FinMonth,"00")&amp;M$3-1,$A$6:OFFSET(M$6,0,-1),0)-COLUMN(M$16)))</f>
        <v>-1</v>
      </c>
      <c r="N1022" s="1359">
        <f ca="1">IF(AND(SUM($G$441:N$441)=12,$G$441=0),COLUMN($G1022)-COLUMN(N1022),IF(ISNA(MATCH(TEXT(FinMonth,"00")&amp;"??"&amp;TEXT(FinMonth,"00")&amp;N$3-1,$A$6:OFFSET(N$6,0,-1),0)),0,MATCH(TEXT(FinMonth,"00")&amp;"??"&amp;TEXT(FinMonth,"00")&amp;N$3-1,$A$6:OFFSET(N$6,0,-1),0)-COLUMN(N$16)))</f>
        <v>-1</v>
      </c>
      <c r="O1022" s="1359">
        <f ca="1">IF(AND(SUM($G$441:O$441)=12,$G$441=0),COLUMN($G1022)-COLUMN(O1022),IF(ISNA(MATCH(TEXT(FinMonth,"00")&amp;"??"&amp;TEXT(FinMonth,"00")&amp;O$3-1,$A$6:OFFSET(O$6,0,-1),0)),0,MATCH(TEXT(FinMonth,"00")&amp;"??"&amp;TEXT(FinMonth,"00")&amp;O$3-1,$A$6:OFFSET(O$6,0,-1),0)-COLUMN(O$16)))</f>
        <v>-1</v>
      </c>
      <c r="P1022" s="1359">
        <f ca="1">IF(AND(SUM($G$441:P$441)=12,$G$441=0),COLUMN($G1022)-COLUMN(P1022),IF(ISNA(MATCH(TEXT(FinMonth,"00")&amp;"??"&amp;TEXT(FinMonth,"00")&amp;P$3-1,$A$6:OFFSET(P$6,0,-1),0)),0,MATCH(TEXT(FinMonth,"00")&amp;"??"&amp;TEXT(FinMonth,"00")&amp;P$3-1,$A$6:OFFSET(P$6,0,-1),0)-COLUMN(P$16)))</f>
        <v>-1</v>
      </c>
      <c r="Q1022" s="1359">
        <f ca="1">IF(AND(SUM($G$441:Q$441)=12,$G$441=0),COLUMN($G1022)-COLUMN(Q1022),IF(ISNA(MATCH(TEXT(FinMonth,"00")&amp;"??"&amp;TEXT(FinMonth,"00")&amp;Q$3-1,$A$6:OFFSET(Q$6,0,-1),0)),0,MATCH(TEXT(FinMonth,"00")&amp;"??"&amp;TEXT(FinMonth,"00")&amp;Q$3-1,$A$6:OFFSET(Q$6,0,-1),0)-COLUMN(Q$16)))</f>
        <v>-2</v>
      </c>
      <c r="R1022" s="1360"/>
      <c r="S1022" s="1358" t="s">
        <v>40</v>
      </c>
      <c r="T1022" s="1361"/>
    </row>
    <row r="1023" spans="1:20" ht="11.25" hidden="1" customHeight="1" x14ac:dyDescent="0.35">
      <c r="A1023" s="319"/>
      <c r="B1023" s="1358"/>
      <c r="C1023" s="1358" t="s">
        <v>1469</v>
      </c>
      <c r="D1023" s="1358"/>
      <c r="E1023" s="1358" t="s">
        <v>1470</v>
      </c>
      <c r="F1023" s="1367"/>
      <c r="G1023" s="1359">
        <f t="shared" ref="G1023:P1023" ca="1" si="725">SUMPRODUCT((MID($A$348:$A$384,6,2)="02")*(G$348:G$384))</f>
        <v>0</v>
      </c>
      <c r="H1023" s="1359">
        <f t="shared" ca="1" si="725"/>
        <v>0</v>
      </c>
      <c r="I1023" s="1359">
        <f t="shared" ca="1" si="725"/>
        <v>0</v>
      </c>
      <c r="J1023" s="1359">
        <f t="shared" ca="1" si="725"/>
        <v>0</v>
      </c>
      <c r="K1023" s="1359">
        <f t="shared" ca="1" si="725"/>
        <v>0</v>
      </c>
      <c r="L1023" s="1359">
        <f t="shared" ca="1" si="725"/>
        <v>0</v>
      </c>
      <c r="M1023" s="1359">
        <f t="shared" ca="1" si="725"/>
        <v>0</v>
      </c>
      <c r="N1023" s="1359">
        <f t="shared" ca="1" si="725"/>
        <v>0</v>
      </c>
      <c r="O1023" s="1359">
        <f t="shared" ca="1" si="725"/>
        <v>0</v>
      </c>
      <c r="P1023" s="1359">
        <f t="shared" ca="1" si="725"/>
        <v>0</v>
      </c>
      <c r="Q1023" s="1359"/>
      <c r="R1023" s="1360"/>
      <c r="S1023" s="1358" t="s">
        <v>40</v>
      </c>
      <c r="T1023" s="1361"/>
    </row>
    <row r="1024" spans="1:20" ht="11.25" hidden="1" customHeight="1" x14ac:dyDescent="0.35">
      <c r="A1024" s="319"/>
      <c r="B1024" s="1358"/>
      <c r="C1024" s="1358" t="s">
        <v>1471</v>
      </c>
      <c r="D1024" s="1358"/>
      <c r="E1024" s="1358" t="s">
        <v>1472</v>
      </c>
      <c r="F1024" s="1367"/>
      <c r="G1024" s="1359">
        <f t="shared" ref="G1024:P1024" ca="1" si="726">SUMPRODUCT((MID($A$348:$A$384,6,2)="03")*(G$348:G$384))</f>
        <v>0</v>
      </c>
      <c r="H1024" s="1359">
        <f t="shared" ca="1" si="726"/>
        <v>0</v>
      </c>
      <c r="I1024" s="1359">
        <f t="shared" ca="1" si="726"/>
        <v>0</v>
      </c>
      <c r="J1024" s="1359">
        <f t="shared" ca="1" si="726"/>
        <v>0</v>
      </c>
      <c r="K1024" s="1359">
        <f t="shared" ca="1" si="726"/>
        <v>0</v>
      </c>
      <c r="L1024" s="1359">
        <f t="shared" ca="1" si="726"/>
        <v>0</v>
      </c>
      <c r="M1024" s="1359">
        <f t="shared" ca="1" si="726"/>
        <v>0</v>
      </c>
      <c r="N1024" s="1359">
        <f t="shared" ca="1" si="726"/>
        <v>0</v>
      </c>
      <c r="O1024" s="1359">
        <f t="shared" ca="1" si="726"/>
        <v>0</v>
      </c>
      <c r="P1024" s="1359">
        <f t="shared" ca="1" si="726"/>
        <v>0</v>
      </c>
      <c r="Q1024" s="1359"/>
      <c r="R1024" s="1360"/>
      <c r="S1024" s="1358" t="s">
        <v>40</v>
      </c>
      <c r="T1024" s="1361"/>
    </row>
    <row r="1025" spans="1:20" ht="11.25" hidden="1" customHeight="1" x14ac:dyDescent="0.35">
      <c r="A1025" s="319"/>
      <c r="B1025" s="1358"/>
      <c r="C1025" s="1358" t="s">
        <v>1473</v>
      </c>
      <c r="D1025" s="1358"/>
      <c r="E1025" s="1358" t="s">
        <v>1474</v>
      </c>
      <c r="F1025" s="1367"/>
      <c r="G1025" s="1359">
        <f ca="1">G387+G390+G393+G396+G399+G402+G405+G408+G411+G414+G417+G420</f>
        <v>0</v>
      </c>
      <c r="H1025" s="1359">
        <f t="shared" ref="H1025:L1026" ca="1" si="727">H387+H390+H393+H396+H399+H402+H405+H408+H411+H414+H417+H420</f>
        <v>0</v>
      </c>
      <c r="I1025" s="1359">
        <f t="shared" ca="1" si="727"/>
        <v>0</v>
      </c>
      <c r="J1025" s="1359">
        <f t="shared" ca="1" si="727"/>
        <v>0</v>
      </c>
      <c r="K1025" s="1359">
        <f t="shared" ca="1" si="727"/>
        <v>0</v>
      </c>
      <c r="L1025" s="1359">
        <f t="shared" ca="1" si="727"/>
        <v>0</v>
      </c>
      <c r="M1025" s="1359">
        <f t="shared" ref="M1025:N1025" ca="1" si="728">M387+M390+M393+M396+M399+M402+M405+M408+M411+M414+M417+M420</f>
        <v>0</v>
      </c>
      <c r="N1025" s="1359">
        <f t="shared" ca="1" si="728"/>
        <v>0</v>
      </c>
      <c r="O1025" s="1359">
        <f t="shared" ref="O1025:P1025" ca="1" si="729">O387+O390+O393+O396+O399+O402+O405+O408+O411+O414+O417+O420</f>
        <v>0</v>
      </c>
      <c r="P1025" s="1359">
        <f t="shared" ca="1" si="729"/>
        <v>0</v>
      </c>
      <c r="Q1025" s="1359"/>
      <c r="R1025" s="1360"/>
      <c r="S1025" s="1358" t="s">
        <v>40</v>
      </c>
      <c r="T1025" s="1361"/>
    </row>
    <row r="1026" spans="1:20" ht="11.25" hidden="1" customHeight="1" x14ac:dyDescent="0.35">
      <c r="A1026" s="319"/>
      <c r="B1026" s="1358"/>
      <c r="C1026" s="1358" t="s">
        <v>1475</v>
      </c>
      <c r="D1026" s="1358"/>
      <c r="E1026" s="1358" t="s">
        <v>1476</v>
      </c>
      <c r="F1026" s="1367"/>
      <c r="G1026" s="1359">
        <f ca="1">G388+G391+G394+G397+G400+G403+G406+G409+G412+G415+G418+G421</f>
        <v>0</v>
      </c>
      <c r="H1026" s="1359">
        <f t="shared" ca="1" si="727"/>
        <v>0</v>
      </c>
      <c r="I1026" s="1359">
        <f t="shared" ca="1" si="727"/>
        <v>0</v>
      </c>
      <c r="J1026" s="1359">
        <f t="shared" ca="1" si="727"/>
        <v>0</v>
      </c>
      <c r="K1026" s="1359">
        <f t="shared" ca="1" si="727"/>
        <v>0</v>
      </c>
      <c r="L1026" s="1359">
        <f t="shared" ca="1" si="727"/>
        <v>0</v>
      </c>
      <c r="M1026" s="1359">
        <f t="shared" ref="M1026:N1026" ca="1" si="730">M388+M391+M394+M397+M400+M403+M406+M409+M412+M415+M418+M421</f>
        <v>0</v>
      </c>
      <c r="N1026" s="1359">
        <f t="shared" ca="1" si="730"/>
        <v>0</v>
      </c>
      <c r="O1026" s="1359">
        <f t="shared" ref="O1026:P1026" ca="1" si="731">O388+O391+O394+O397+O400+O403+O406+O409+O412+O415+O418+O421</f>
        <v>0</v>
      </c>
      <c r="P1026" s="1359">
        <f t="shared" ca="1" si="731"/>
        <v>0</v>
      </c>
      <c r="Q1026" s="1359"/>
      <c r="R1026" s="1360"/>
      <c r="S1026" s="1358" t="s">
        <v>40</v>
      </c>
      <c r="T1026" s="1361"/>
    </row>
    <row r="1027" spans="1:20" ht="11.25" hidden="1" customHeight="1" x14ac:dyDescent="0.35">
      <c r="A1027" s="319"/>
      <c r="B1027" s="1358"/>
      <c r="C1027" s="1358"/>
      <c r="D1027" s="1358"/>
      <c r="E1027" s="1358" t="s">
        <v>1477</v>
      </c>
      <c r="F1027" s="1367"/>
      <c r="G1027" s="1359">
        <f t="shared" ref="G1027:P1027" ca="1" si="732">SUMPRODUCT((MID($A$348:$A$421,9,2)="01")*(MID($A$348:$A$421,6,2)="03")*(G$348:G$421))</f>
        <v>0</v>
      </c>
      <c r="H1027" s="1359">
        <f t="shared" ca="1" si="732"/>
        <v>0</v>
      </c>
      <c r="I1027" s="1359">
        <f t="shared" ca="1" si="732"/>
        <v>0</v>
      </c>
      <c r="J1027" s="1359">
        <f t="shared" ca="1" si="732"/>
        <v>0</v>
      </c>
      <c r="K1027" s="1359">
        <f t="shared" ca="1" si="732"/>
        <v>0</v>
      </c>
      <c r="L1027" s="1359">
        <f t="shared" ca="1" si="732"/>
        <v>0</v>
      </c>
      <c r="M1027" s="1359">
        <f t="shared" ca="1" si="732"/>
        <v>0</v>
      </c>
      <c r="N1027" s="1359">
        <f t="shared" ca="1" si="732"/>
        <v>0</v>
      </c>
      <c r="O1027" s="1359">
        <f t="shared" ca="1" si="732"/>
        <v>0</v>
      </c>
      <c r="P1027" s="1359">
        <f t="shared" ca="1" si="732"/>
        <v>0</v>
      </c>
      <c r="Q1027" s="1359"/>
      <c r="R1027" s="1360"/>
      <c r="S1027" s="1358" t="s">
        <v>40</v>
      </c>
      <c r="T1027" s="1361"/>
    </row>
    <row r="1028" spans="1:20" ht="11.25" hidden="1" customHeight="1" x14ac:dyDescent="0.35">
      <c r="A1028" s="319"/>
      <c r="B1028" s="1358"/>
      <c r="C1028" s="1358"/>
      <c r="D1028" s="1358"/>
      <c r="E1028" s="1358" t="s">
        <v>1478</v>
      </c>
      <c r="F1028" s="1367"/>
      <c r="G1028" s="1359">
        <f t="shared" ref="G1028:P1028" ca="1" si="733">SUMPRODUCT((MID($A$348:$A$421,9,2)="02")*(MID($A$348:$A$421,6,2)="03")*(G$348:G$421))</f>
        <v>0</v>
      </c>
      <c r="H1028" s="1359">
        <f t="shared" ca="1" si="733"/>
        <v>0</v>
      </c>
      <c r="I1028" s="1359">
        <f t="shared" ca="1" si="733"/>
        <v>0</v>
      </c>
      <c r="J1028" s="1359">
        <f t="shared" ca="1" si="733"/>
        <v>0</v>
      </c>
      <c r="K1028" s="1359">
        <f t="shared" ca="1" si="733"/>
        <v>0</v>
      </c>
      <c r="L1028" s="1359">
        <f t="shared" ca="1" si="733"/>
        <v>0</v>
      </c>
      <c r="M1028" s="1359">
        <f t="shared" ca="1" si="733"/>
        <v>0</v>
      </c>
      <c r="N1028" s="1359">
        <f t="shared" ca="1" si="733"/>
        <v>0</v>
      </c>
      <c r="O1028" s="1359">
        <f t="shared" ca="1" si="733"/>
        <v>0</v>
      </c>
      <c r="P1028" s="1359">
        <f t="shared" ca="1" si="733"/>
        <v>0</v>
      </c>
      <c r="Q1028" s="1359"/>
      <c r="R1028" s="1360"/>
      <c r="S1028" s="1358" t="s">
        <v>40</v>
      </c>
      <c r="T1028" s="1361"/>
    </row>
    <row r="1029" spans="1:20" ht="11.25" hidden="1" customHeight="1" x14ac:dyDescent="0.35">
      <c r="A1029" s="319"/>
      <c r="B1029" s="1358"/>
      <c r="C1029" s="1358"/>
      <c r="D1029" s="1358"/>
      <c r="E1029" s="1358" t="s">
        <v>1479</v>
      </c>
      <c r="F1029" s="1367"/>
      <c r="G1029" s="1359">
        <f t="shared" ref="G1029:P1029" ca="1" si="734">SUMPRODUCT((MID($A$348:$A$421,9,2)="03")*(MID($A$348:$A$421,6,2)="03")*(G$348:G$421))</f>
        <v>0</v>
      </c>
      <c r="H1029" s="1359">
        <f t="shared" ca="1" si="734"/>
        <v>0</v>
      </c>
      <c r="I1029" s="1359">
        <f t="shared" ca="1" si="734"/>
        <v>0</v>
      </c>
      <c r="J1029" s="1359">
        <f t="shared" ca="1" si="734"/>
        <v>0</v>
      </c>
      <c r="K1029" s="1359">
        <f t="shared" ca="1" si="734"/>
        <v>0</v>
      </c>
      <c r="L1029" s="1359">
        <f t="shared" ca="1" si="734"/>
        <v>0</v>
      </c>
      <c r="M1029" s="1359">
        <f t="shared" ca="1" si="734"/>
        <v>0</v>
      </c>
      <c r="N1029" s="1359">
        <f t="shared" ca="1" si="734"/>
        <v>0</v>
      </c>
      <c r="O1029" s="1359">
        <f t="shared" ca="1" si="734"/>
        <v>0</v>
      </c>
      <c r="P1029" s="1359">
        <f t="shared" ca="1" si="734"/>
        <v>0</v>
      </c>
      <c r="Q1029" s="1359"/>
      <c r="R1029" s="1360"/>
      <c r="S1029" s="1358" t="s">
        <v>40</v>
      </c>
      <c r="T1029" s="1361"/>
    </row>
    <row r="1030" spans="1:20" ht="11.25" hidden="1" customHeight="1" x14ac:dyDescent="0.35">
      <c r="A1030" s="319"/>
      <c r="B1030" s="1358"/>
      <c r="C1030" s="1358"/>
      <c r="D1030" s="1358"/>
      <c r="E1030" s="1358" t="s">
        <v>1480</v>
      </c>
      <c r="F1030" s="1367"/>
      <c r="G1030" s="1359">
        <f t="shared" ref="G1030:P1030" ca="1" si="735">SUMPRODUCT((MID($A$348:$A$421,9,2)="04")*(MID($A$348:$A$421,6,2)="03")*(G$348:G$421))</f>
        <v>0</v>
      </c>
      <c r="H1030" s="1359">
        <f t="shared" ca="1" si="735"/>
        <v>0</v>
      </c>
      <c r="I1030" s="1359">
        <f t="shared" ca="1" si="735"/>
        <v>0</v>
      </c>
      <c r="J1030" s="1359">
        <f t="shared" ca="1" si="735"/>
        <v>0</v>
      </c>
      <c r="K1030" s="1359">
        <f t="shared" ca="1" si="735"/>
        <v>0</v>
      </c>
      <c r="L1030" s="1359">
        <f t="shared" ca="1" si="735"/>
        <v>0</v>
      </c>
      <c r="M1030" s="1359">
        <f t="shared" ca="1" si="735"/>
        <v>0</v>
      </c>
      <c r="N1030" s="1359">
        <f t="shared" ca="1" si="735"/>
        <v>0</v>
      </c>
      <c r="O1030" s="1359">
        <f t="shared" ca="1" si="735"/>
        <v>0</v>
      </c>
      <c r="P1030" s="1359">
        <f t="shared" ca="1" si="735"/>
        <v>0</v>
      </c>
      <c r="Q1030" s="1359"/>
      <c r="R1030" s="1360"/>
      <c r="S1030" s="1358" t="s">
        <v>40</v>
      </c>
      <c r="T1030" s="1361"/>
    </row>
    <row r="1031" spans="1:20" ht="11.25" hidden="1" customHeight="1" x14ac:dyDescent="0.35">
      <c r="A1031" s="319"/>
      <c r="B1031" s="1358"/>
      <c r="C1031" s="1358"/>
      <c r="D1031" s="1358"/>
      <c r="E1031" s="1358" t="s">
        <v>1481</v>
      </c>
      <c r="F1031" s="1367"/>
      <c r="G1031" s="1359">
        <f t="shared" ref="G1031:P1031" ca="1" si="736">SUMPRODUCT((MID($A$348:$A$421,9,2)="05")*(MID($A$348:$A$421,6,2)="03")*(G$348:G$421))</f>
        <v>0</v>
      </c>
      <c r="H1031" s="1359">
        <f t="shared" ca="1" si="736"/>
        <v>0</v>
      </c>
      <c r="I1031" s="1359">
        <f t="shared" ca="1" si="736"/>
        <v>0</v>
      </c>
      <c r="J1031" s="1359">
        <f t="shared" ca="1" si="736"/>
        <v>0</v>
      </c>
      <c r="K1031" s="1359">
        <f t="shared" ca="1" si="736"/>
        <v>0</v>
      </c>
      <c r="L1031" s="1359">
        <f t="shared" ca="1" si="736"/>
        <v>0</v>
      </c>
      <c r="M1031" s="1359">
        <f t="shared" ca="1" si="736"/>
        <v>0</v>
      </c>
      <c r="N1031" s="1359">
        <f t="shared" ca="1" si="736"/>
        <v>0</v>
      </c>
      <c r="O1031" s="1359">
        <f t="shared" ca="1" si="736"/>
        <v>0</v>
      </c>
      <c r="P1031" s="1359">
        <f t="shared" ca="1" si="736"/>
        <v>0</v>
      </c>
      <c r="Q1031" s="1359"/>
      <c r="R1031" s="1360"/>
      <c r="S1031" s="1358" t="s">
        <v>40</v>
      </c>
      <c r="T1031" s="1361"/>
    </row>
    <row r="1032" spans="1:20" ht="11.25" hidden="1" customHeight="1" x14ac:dyDescent="0.35">
      <c r="A1032" s="319"/>
      <c r="B1032" s="1358"/>
      <c r="C1032" s="1358"/>
      <c r="D1032" s="1358"/>
      <c r="E1032" s="1358" t="s">
        <v>1482</v>
      </c>
      <c r="F1032" s="1367"/>
      <c r="G1032" s="1359">
        <f t="shared" ref="G1032:P1032" ca="1" si="737">SUMPRODUCT((MID($A$348:$A$421,9,2)="06")*(MID($A$348:$A$421,6,2)="03")*(G$348:G$421))</f>
        <v>0</v>
      </c>
      <c r="H1032" s="1359">
        <f t="shared" ca="1" si="737"/>
        <v>0</v>
      </c>
      <c r="I1032" s="1359">
        <f t="shared" ca="1" si="737"/>
        <v>0</v>
      </c>
      <c r="J1032" s="1359">
        <f t="shared" ca="1" si="737"/>
        <v>0</v>
      </c>
      <c r="K1032" s="1359">
        <f t="shared" ca="1" si="737"/>
        <v>0</v>
      </c>
      <c r="L1032" s="1359">
        <f t="shared" ca="1" si="737"/>
        <v>0</v>
      </c>
      <c r="M1032" s="1359">
        <f t="shared" ca="1" si="737"/>
        <v>0</v>
      </c>
      <c r="N1032" s="1359">
        <f t="shared" ca="1" si="737"/>
        <v>0</v>
      </c>
      <c r="O1032" s="1359">
        <f t="shared" ca="1" si="737"/>
        <v>0</v>
      </c>
      <c r="P1032" s="1359">
        <f t="shared" ca="1" si="737"/>
        <v>0</v>
      </c>
      <c r="Q1032" s="1359"/>
      <c r="R1032" s="1360"/>
      <c r="S1032" s="1358" t="s">
        <v>40</v>
      </c>
      <c r="T1032" s="1361"/>
    </row>
    <row r="1033" spans="1:20" ht="11.25" hidden="1" customHeight="1" x14ac:dyDescent="0.35">
      <c r="A1033" s="319"/>
      <c r="B1033" s="1358"/>
      <c r="C1033" s="1358"/>
      <c r="D1033" s="1358"/>
      <c r="E1033" s="1358" t="s">
        <v>1483</v>
      </c>
      <c r="F1033" s="1367"/>
      <c r="G1033" s="1359">
        <f t="shared" ref="G1033:P1033" ca="1" si="738">SUMPRODUCT((MID($A$348:$A$421,9,2)="07")*(MID($A$348:$A$421,6,2)="03")*(G$348:G$421))</f>
        <v>0</v>
      </c>
      <c r="H1033" s="1359">
        <f t="shared" ca="1" si="738"/>
        <v>0</v>
      </c>
      <c r="I1033" s="1359">
        <f t="shared" ca="1" si="738"/>
        <v>0</v>
      </c>
      <c r="J1033" s="1359">
        <f t="shared" ca="1" si="738"/>
        <v>0</v>
      </c>
      <c r="K1033" s="1359">
        <f t="shared" ca="1" si="738"/>
        <v>0</v>
      </c>
      <c r="L1033" s="1359">
        <f t="shared" ca="1" si="738"/>
        <v>0</v>
      </c>
      <c r="M1033" s="1359">
        <f t="shared" ca="1" si="738"/>
        <v>0</v>
      </c>
      <c r="N1033" s="1359">
        <f t="shared" ca="1" si="738"/>
        <v>0</v>
      </c>
      <c r="O1033" s="1359">
        <f t="shared" ca="1" si="738"/>
        <v>0</v>
      </c>
      <c r="P1033" s="1359">
        <f t="shared" ca="1" si="738"/>
        <v>0</v>
      </c>
      <c r="Q1033" s="1359"/>
      <c r="R1033" s="1360"/>
      <c r="S1033" s="1358" t="s">
        <v>40</v>
      </c>
      <c r="T1033" s="1361"/>
    </row>
    <row r="1034" spans="1:20" ht="11.25" hidden="1" customHeight="1" x14ac:dyDescent="0.35">
      <c r="A1034" s="319"/>
      <c r="B1034" s="1358"/>
      <c r="C1034" s="1358"/>
      <c r="D1034" s="1358"/>
      <c r="E1034" s="1358" t="s">
        <v>1484</v>
      </c>
      <c r="F1034" s="1367"/>
      <c r="G1034" s="1359">
        <f t="shared" ref="G1034:P1034" ca="1" si="739">SUMPRODUCT((MID($A$348:$A$421,9,2)="08")*(MID($A$348:$A$421,6,2)="03")*(G$348:G$421))</f>
        <v>0</v>
      </c>
      <c r="H1034" s="1359">
        <f t="shared" ca="1" si="739"/>
        <v>0</v>
      </c>
      <c r="I1034" s="1359">
        <f t="shared" ca="1" si="739"/>
        <v>0</v>
      </c>
      <c r="J1034" s="1359">
        <f t="shared" ca="1" si="739"/>
        <v>0</v>
      </c>
      <c r="K1034" s="1359">
        <f t="shared" ca="1" si="739"/>
        <v>0</v>
      </c>
      <c r="L1034" s="1359">
        <f t="shared" ca="1" si="739"/>
        <v>0</v>
      </c>
      <c r="M1034" s="1359">
        <f t="shared" ca="1" si="739"/>
        <v>0</v>
      </c>
      <c r="N1034" s="1359">
        <f t="shared" ca="1" si="739"/>
        <v>0</v>
      </c>
      <c r="O1034" s="1359">
        <f t="shared" ca="1" si="739"/>
        <v>0</v>
      </c>
      <c r="P1034" s="1359">
        <f t="shared" ca="1" si="739"/>
        <v>0</v>
      </c>
      <c r="Q1034" s="1359"/>
      <c r="R1034" s="1360"/>
      <c r="S1034" s="1358" t="s">
        <v>40</v>
      </c>
      <c r="T1034" s="1361"/>
    </row>
    <row r="1035" spans="1:20" ht="11.25" hidden="1" customHeight="1" x14ac:dyDescent="0.35">
      <c r="A1035" s="319"/>
      <c r="B1035" s="1358"/>
      <c r="C1035" s="1358"/>
      <c r="D1035" s="1358"/>
      <c r="E1035" s="1358" t="s">
        <v>1485</v>
      </c>
      <c r="F1035" s="1367"/>
      <c r="G1035" s="1359">
        <f t="shared" ref="G1035:P1035" ca="1" si="740">SUMPRODUCT((MID($A$348:$A$421,9,2)="09")*(MID($A$348:$A$421,6,2)="03")*(G$348:G$421))</f>
        <v>0</v>
      </c>
      <c r="H1035" s="1359">
        <f t="shared" ca="1" si="740"/>
        <v>0</v>
      </c>
      <c r="I1035" s="1359">
        <f t="shared" ca="1" si="740"/>
        <v>0</v>
      </c>
      <c r="J1035" s="1359">
        <f t="shared" ca="1" si="740"/>
        <v>0</v>
      </c>
      <c r="K1035" s="1359">
        <f t="shared" ca="1" si="740"/>
        <v>0</v>
      </c>
      <c r="L1035" s="1359">
        <f t="shared" ca="1" si="740"/>
        <v>0</v>
      </c>
      <c r="M1035" s="1359">
        <f t="shared" ca="1" si="740"/>
        <v>0</v>
      </c>
      <c r="N1035" s="1359">
        <f t="shared" ca="1" si="740"/>
        <v>0</v>
      </c>
      <c r="O1035" s="1359">
        <f t="shared" ca="1" si="740"/>
        <v>0</v>
      </c>
      <c r="P1035" s="1359">
        <f t="shared" ca="1" si="740"/>
        <v>0</v>
      </c>
      <c r="Q1035" s="1359"/>
      <c r="R1035" s="1360"/>
      <c r="S1035" s="1358" t="s">
        <v>40</v>
      </c>
      <c r="T1035" s="1361"/>
    </row>
    <row r="1036" spans="1:20" ht="11.25" hidden="1" customHeight="1" x14ac:dyDescent="0.35">
      <c r="A1036" s="319"/>
      <c r="B1036" s="1358"/>
      <c r="C1036" s="1358"/>
      <c r="D1036" s="1358"/>
      <c r="E1036" s="1358" t="s">
        <v>1486</v>
      </c>
      <c r="F1036" s="1367"/>
      <c r="G1036" s="1359">
        <f t="shared" ref="G1036:P1036" ca="1" si="741">SUMPRODUCT((MID($A$348:$A$421,9,2)="12")*(MID($A$348:$A$421,6,2)="03")*(G$348:G$421))</f>
        <v>0</v>
      </c>
      <c r="H1036" s="1359">
        <f t="shared" ca="1" si="741"/>
        <v>0</v>
      </c>
      <c r="I1036" s="1359">
        <f t="shared" ca="1" si="741"/>
        <v>0</v>
      </c>
      <c r="J1036" s="1359">
        <f t="shared" ca="1" si="741"/>
        <v>0</v>
      </c>
      <c r="K1036" s="1359">
        <f t="shared" ca="1" si="741"/>
        <v>0</v>
      </c>
      <c r="L1036" s="1359">
        <f t="shared" ca="1" si="741"/>
        <v>0</v>
      </c>
      <c r="M1036" s="1359">
        <f t="shared" ca="1" si="741"/>
        <v>0</v>
      </c>
      <c r="N1036" s="1359">
        <f t="shared" ca="1" si="741"/>
        <v>0</v>
      </c>
      <c r="O1036" s="1359">
        <f t="shared" ca="1" si="741"/>
        <v>0</v>
      </c>
      <c r="P1036" s="1359">
        <f t="shared" ca="1" si="741"/>
        <v>0</v>
      </c>
      <c r="Q1036" s="1359"/>
      <c r="R1036" s="1360"/>
      <c r="S1036" s="1358" t="s">
        <v>40</v>
      </c>
      <c r="T1036" s="1361"/>
    </row>
    <row r="1037" spans="1:20" ht="11.25" hidden="1" customHeight="1" x14ac:dyDescent="0.35">
      <c r="A1037" s="319"/>
      <c r="B1037" s="1358"/>
      <c r="C1037" s="1358"/>
      <c r="D1037" s="1358"/>
      <c r="E1037" s="1358" t="s">
        <v>1487</v>
      </c>
      <c r="F1037" s="1367"/>
      <c r="G1037" s="1359">
        <f t="shared" ref="G1037:P1037" ca="1" si="742">SUMPRODUCT((MID($A$348:$A$421,9,2)="10")*(MID($A$348:$A$421,6,2)="03")*(G$348:G$421))</f>
        <v>0</v>
      </c>
      <c r="H1037" s="1359">
        <f t="shared" ca="1" si="742"/>
        <v>0</v>
      </c>
      <c r="I1037" s="1359">
        <f t="shared" ca="1" si="742"/>
        <v>0</v>
      </c>
      <c r="J1037" s="1359">
        <f t="shared" ca="1" si="742"/>
        <v>0</v>
      </c>
      <c r="K1037" s="1359">
        <f t="shared" ca="1" si="742"/>
        <v>0</v>
      </c>
      <c r="L1037" s="1359">
        <f t="shared" ca="1" si="742"/>
        <v>0</v>
      </c>
      <c r="M1037" s="1359">
        <f t="shared" ca="1" si="742"/>
        <v>0</v>
      </c>
      <c r="N1037" s="1359">
        <f t="shared" ca="1" si="742"/>
        <v>0</v>
      </c>
      <c r="O1037" s="1359">
        <f t="shared" ca="1" si="742"/>
        <v>0</v>
      </c>
      <c r="P1037" s="1359">
        <f t="shared" ca="1" si="742"/>
        <v>0</v>
      </c>
      <c r="Q1037" s="1359"/>
      <c r="R1037" s="1360"/>
      <c r="S1037" s="1358" t="s">
        <v>40</v>
      </c>
      <c r="T1037" s="1361"/>
    </row>
    <row r="1038" spans="1:20" ht="11.25" hidden="1" customHeight="1" x14ac:dyDescent="0.35">
      <c r="A1038" s="319"/>
      <c r="B1038" s="1358"/>
      <c r="C1038" s="1358"/>
      <c r="D1038" s="1358"/>
      <c r="E1038" s="1358" t="s">
        <v>1488</v>
      </c>
      <c r="F1038" s="1367"/>
      <c r="G1038" s="1359">
        <f t="shared" ref="G1038:P1038" ca="1" si="743">SUMPRODUCT((MID($A$348:$A$421,9,2)="11")*(MID($A$348:$A$421,6,2)="03")*(G$348:G$421))</f>
        <v>0</v>
      </c>
      <c r="H1038" s="1359">
        <f t="shared" ca="1" si="743"/>
        <v>0</v>
      </c>
      <c r="I1038" s="1359">
        <f t="shared" ca="1" si="743"/>
        <v>0</v>
      </c>
      <c r="J1038" s="1359">
        <f t="shared" ca="1" si="743"/>
        <v>0</v>
      </c>
      <c r="K1038" s="1359">
        <f t="shared" ca="1" si="743"/>
        <v>0</v>
      </c>
      <c r="L1038" s="1359">
        <f t="shared" ca="1" si="743"/>
        <v>0</v>
      </c>
      <c r="M1038" s="1359">
        <f t="shared" ca="1" si="743"/>
        <v>0</v>
      </c>
      <c r="N1038" s="1359">
        <f t="shared" ca="1" si="743"/>
        <v>0</v>
      </c>
      <c r="O1038" s="1359">
        <f t="shared" ca="1" si="743"/>
        <v>0</v>
      </c>
      <c r="P1038" s="1359">
        <f t="shared" ca="1" si="743"/>
        <v>0</v>
      </c>
      <c r="Q1038" s="1359"/>
      <c r="R1038" s="1360"/>
      <c r="S1038" s="1358" t="s">
        <v>40</v>
      </c>
      <c r="T1038" s="1361"/>
    </row>
    <row r="1039" spans="1:20" ht="11.25" hidden="1" customHeight="1" x14ac:dyDescent="0.35">
      <c r="A1039" s="319"/>
      <c r="B1039" s="1358"/>
      <c r="C1039" s="1358" t="s">
        <v>1489</v>
      </c>
      <c r="D1039" s="1358"/>
      <c r="E1039" s="1358" t="s">
        <v>1490</v>
      </c>
      <c r="F1039" s="1362">
        <v>-1.0000000000000001E-9</v>
      </c>
      <c r="G1039" s="1359">
        <f ca="1">IF(G$1042&lt;0,G$1042,IF(SUMIF(G$1042:$Q$1042,"&lt;0")=0,G$1042,OFFSET(G1039,0,-1)))</f>
        <v>-1.0000000000000001E-9</v>
      </c>
      <c r="H1039" s="1359">
        <f ca="1">IF(H$1042&lt;0,H$1042,IF(SUMIF(H$1042:$Q$1042,"&lt;0")=0,H$1042,OFFSET(H1039,0,-1)))</f>
        <v>-2532168.9934675642</v>
      </c>
      <c r="I1039" s="1359">
        <f ca="1">IF(I$1042&lt;0,I$1042,IF(SUMIF(I$1042:$Q$1042,"&lt;0")=0,I$1042,OFFSET(I1039,0,-1)))</f>
        <v>-3290274.3466340606</v>
      </c>
      <c r="J1039" s="1359">
        <f ca="1">IF(J$1042&lt;0,J$1042,IF(SUMIF(J$1042:$Q$1042,"&lt;0")=0,J$1042,OFFSET(J1039,0,-1)))</f>
        <v>-3570209.7833110662</v>
      </c>
      <c r="K1039" s="1359">
        <f ca="1">IF(K$1042&lt;0,K$1042,IF(SUMIF(K$1042:$Q$1042,"&lt;0")=0,K$1042,OFFSET(K1039,0,-1)))</f>
        <v>-3924249.8769574617</v>
      </c>
      <c r="L1039" s="1359">
        <f ca="1">IF(L$1042&lt;0,L$1042,IF(SUMIF(L$1042:$Q$1042,"&lt;0")=0,L$1042,OFFSET(L1039,0,-1)))</f>
        <v>-2664739.5075116539</v>
      </c>
      <c r="M1039" s="1359">
        <f ca="1">IF(M$1042&lt;0,M$1042,IF(SUMIF(M$1042:$Q$1042,"&lt;0")=0,M$1042,OFFSET(M1039,0,-1)))</f>
        <v>-1036689.1089818362</v>
      </c>
      <c r="N1039" s="1359">
        <f ca="1">IF(N$1042&lt;0,N$1042,IF(SUMIF(N$1042:$Q$1042,"&lt;0")=0,N$1042,OFFSET(N1039,0,-1)))</f>
        <v>1333631.2410902102</v>
      </c>
      <c r="O1039" s="1359">
        <f ca="1">IF(O$1042&lt;0,O$1042,IF(SUMIF(O$1042:$Q$1042,"&lt;0")=0,O$1042,OFFSET(O1039,0,-1)))</f>
        <v>4447371.5621488048</v>
      </c>
      <c r="P1039" s="1359">
        <f ca="1">IF(P$1042&lt;0,P$1042,IF(SUMIF(P$1042:$Q$1042,"&lt;0")=0,P$1042,OFFSET(P1039,0,-1)))</f>
        <v>8526816.3334430363</v>
      </c>
      <c r="Q1039" s="1359"/>
      <c r="R1039" s="1360"/>
      <c r="S1039" s="1358" t="s">
        <v>40</v>
      </c>
      <c r="T1039" s="1361"/>
    </row>
    <row r="1040" spans="1:20" ht="11.25" hidden="1" customHeight="1" x14ac:dyDescent="0.35">
      <c r="A1040" s="319"/>
      <c r="B1040" s="1358"/>
      <c r="C1040" s="1358"/>
      <c r="D1040" s="1358"/>
      <c r="E1040" s="1358" t="s">
        <v>1491</v>
      </c>
      <c r="F1040" s="1362"/>
      <c r="G1040" s="1359">
        <f ca="1">IF(G$5=-99,OFFSET(G1040,0,-1),IF(G$5&lt;CalcPointPB,-0.000000001,G$1065))</f>
        <v>0</v>
      </c>
      <c r="H1040" s="1359">
        <f t="shared" ref="H1040:P1040" ca="1" si="744">IF(H$5=-99,OFFSET(H1040,0,-1),IF(H$5&lt;CalcPointPB,-0.000000001,H$1065))</f>
        <v>1</v>
      </c>
      <c r="I1040" s="1359">
        <f t="shared" ca="1" si="744"/>
        <v>2</v>
      </c>
      <c r="J1040" s="1359">
        <f t="shared" ca="1" si="744"/>
        <v>3</v>
      </c>
      <c r="K1040" s="1359">
        <f t="shared" ca="1" si="744"/>
        <v>4</v>
      </c>
      <c r="L1040" s="1359">
        <f t="shared" ca="1" si="744"/>
        <v>16</v>
      </c>
      <c r="M1040" s="1359">
        <f t="shared" ca="1" si="744"/>
        <v>28</v>
      </c>
      <c r="N1040" s="1359">
        <f t="shared" ca="1" si="744"/>
        <v>40</v>
      </c>
      <c r="O1040" s="1359">
        <f t="shared" ca="1" si="744"/>
        <v>52</v>
      </c>
      <c r="P1040" s="1359">
        <f t="shared" ca="1" si="744"/>
        <v>64</v>
      </c>
      <c r="Q1040" s="1359"/>
      <c r="R1040" s="1360"/>
      <c r="S1040" s="1358" t="s">
        <v>40</v>
      </c>
      <c r="T1040" s="1361"/>
    </row>
    <row r="1041" spans="1:20" ht="12.75" hidden="1" customHeight="1" x14ac:dyDescent="0.35">
      <c r="A1041" s="1368"/>
      <c r="B1041" s="1358"/>
      <c r="C1041" s="1358"/>
      <c r="D1041" s="1358"/>
      <c r="E1041" s="1358" t="s">
        <v>1492</v>
      </c>
      <c r="F1041" s="1362" t="s">
        <v>1493</v>
      </c>
      <c r="G1041" s="1359" t="str">
        <f t="shared" ref="G1041:P1041" si="745">G$631</f>
        <v>9/2019</v>
      </c>
      <c r="H1041" s="1359" t="str">
        <f t="shared" si="745"/>
        <v>9/2019</v>
      </c>
      <c r="I1041" s="1359" t="str">
        <f t="shared" si="745"/>
        <v>10/2019</v>
      </c>
      <c r="J1041" s="1359" t="str">
        <f t="shared" si="745"/>
        <v>11/2019</v>
      </c>
      <c r="K1041" s="1359" t="str">
        <f t="shared" si="745"/>
        <v>12/2019</v>
      </c>
      <c r="L1041" s="1359" t="str">
        <f t="shared" si="745"/>
        <v>12/2020</v>
      </c>
      <c r="M1041" s="1359" t="str">
        <f t="shared" si="745"/>
        <v>12/2021</v>
      </c>
      <c r="N1041" s="1359" t="str">
        <f t="shared" si="745"/>
        <v>12/2022</v>
      </c>
      <c r="O1041" s="1359" t="str">
        <f t="shared" si="745"/>
        <v>12/2023</v>
      </c>
      <c r="P1041" s="1359" t="str">
        <f t="shared" si="745"/>
        <v>12/2024</v>
      </c>
      <c r="Q1041" s="1359" t="s">
        <v>1493</v>
      </c>
      <c r="R1041" s="1360"/>
      <c r="S1041" s="1358" t="s">
        <v>40</v>
      </c>
      <c r="T1041" s="1361"/>
    </row>
    <row r="1042" spans="1:20" ht="12.75" hidden="1" customHeight="1" x14ac:dyDescent="0.35">
      <c r="A1042" s="1368"/>
      <c r="B1042" s="1358"/>
      <c r="C1042" s="1358"/>
      <c r="D1042" s="1358"/>
      <c r="E1042" s="1358" t="s">
        <v>1494</v>
      </c>
      <c r="F1042" s="1362"/>
      <c r="G1042" s="1359">
        <f ca="1">G$1074-0.000000001</f>
        <v>-1.0000000000000001E-9</v>
      </c>
      <c r="H1042" s="1359">
        <f t="shared" ref="H1042:P1042" ca="1" si="746">H$1074-0.000000001</f>
        <v>-2532168.9934675642</v>
      </c>
      <c r="I1042" s="1359">
        <f t="shared" ca="1" si="746"/>
        <v>-3290274.3466340606</v>
      </c>
      <c r="J1042" s="1359">
        <f t="shared" ca="1" si="746"/>
        <v>-3570209.7833110662</v>
      </c>
      <c r="K1042" s="1359">
        <f t="shared" ca="1" si="746"/>
        <v>-3924249.8769574617</v>
      </c>
      <c r="L1042" s="1359">
        <f t="shared" ca="1" si="746"/>
        <v>-2664739.5075116539</v>
      </c>
      <c r="M1042" s="1359">
        <f t="shared" ca="1" si="746"/>
        <v>-1036689.1089818362</v>
      </c>
      <c r="N1042" s="1359">
        <f t="shared" ca="1" si="746"/>
        <v>1333631.2410902102</v>
      </c>
      <c r="O1042" s="1359">
        <f t="shared" ca="1" si="746"/>
        <v>4447371.5621488048</v>
      </c>
      <c r="P1042" s="1359">
        <f t="shared" ca="1" si="746"/>
        <v>8526816.3334430363</v>
      </c>
      <c r="Q1042" s="1359"/>
      <c r="R1042" s="1360"/>
      <c r="S1042" s="1358" t="s">
        <v>40</v>
      </c>
      <c r="T1042" s="1361"/>
    </row>
    <row r="1043" spans="1:20" ht="12.75" hidden="1" customHeight="1" x14ac:dyDescent="0.35">
      <c r="A1043" s="1368"/>
      <c r="B1043" s="1358"/>
      <c r="C1043" s="1358"/>
      <c r="D1043" s="1358"/>
      <c r="E1043" s="1358" t="s">
        <v>1495</v>
      </c>
      <c r="F1043" s="1362"/>
      <c r="G1043" s="1359" t="e">
        <f ca="1">IF(G$1074&lt;0,G$1074,NA())</f>
        <v>#N/A</v>
      </c>
      <c r="H1043" s="1359">
        <f t="shared" ref="H1043:P1043" ca="1" si="747">IF(H$1074&lt;0,H$1074,NA())</f>
        <v>-2532168.9934675633</v>
      </c>
      <c r="I1043" s="1359">
        <f t="shared" ca="1" si="747"/>
        <v>-3290274.3466340597</v>
      </c>
      <c r="J1043" s="1359">
        <f t="shared" ca="1" si="747"/>
        <v>-3570209.7833110653</v>
      </c>
      <c r="K1043" s="1359">
        <f t="shared" ca="1" si="747"/>
        <v>-3924249.8769574608</v>
      </c>
      <c r="L1043" s="1359">
        <f t="shared" ca="1" si="747"/>
        <v>-2664739.507511653</v>
      </c>
      <c r="M1043" s="1359">
        <f t="shared" ca="1" si="747"/>
        <v>-1036689.1089818352</v>
      </c>
      <c r="N1043" s="1359" t="e">
        <f t="shared" ca="1" si="747"/>
        <v>#N/A</v>
      </c>
      <c r="O1043" s="1359" t="e">
        <f t="shared" ca="1" si="747"/>
        <v>#N/A</v>
      </c>
      <c r="P1043" s="1359" t="e">
        <f t="shared" ca="1" si="747"/>
        <v>#N/A</v>
      </c>
      <c r="Q1043" s="1359" t="e">
        <v>#N/A</v>
      </c>
      <c r="R1043" s="1360"/>
      <c r="S1043" s="1358" t="s">
        <v>40</v>
      </c>
      <c r="T1043" s="1361"/>
    </row>
    <row r="1044" spans="1:20" ht="12.75" hidden="1" customHeight="1" x14ac:dyDescent="0.35">
      <c r="A1044" s="1368"/>
      <c r="B1044" s="1358"/>
      <c r="C1044" s="1358"/>
      <c r="D1044" s="1358"/>
      <c r="E1044" s="1358" t="s">
        <v>1496</v>
      </c>
      <c r="F1044" s="1362"/>
      <c r="G1044" s="1359" t="e">
        <f ca="1">IF(G$1074&gt;0,G$1074,NA())</f>
        <v>#N/A</v>
      </c>
      <c r="H1044" s="1359" t="e">
        <f t="shared" ref="H1044:P1044" ca="1" si="748">IF(H$1074&gt;0,H$1074,NA())</f>
        <v>#N/A</v>
      </c>
      <c r="I1044" s="1359" t="e">
        <f t="shared" ca="1" si="748"/>
        <v>#N/A</v>
      </c>
      <c r="J1044" s="1359" t="e">
        <f t="shared" ca="1" si="748"/>
        <v>#N/A</v>
      </c>
      <c r="K1044" s="1359" t="e">
        <f t="shared" ca="1" si="748"/>
        <v>#N/A</v>
      </c>
      <c r="L1044" s="1359" t="e">
        <f t="shared" ca="1" si="748"/>
        <v>#N/A</v>
      </c>
      <c r="M1044" s="1359" t="e">
        <f t="shared" ca="1" si="748"/>
        <v>#N/A</v>
      </c>
      <c r="N1044" s="1359">
        <f t="shared" ca="1" si="748"/>
        <v>1333631.2410902111</v>
      </c>
      <c r="O1044" s="1359">
        <f t="shared" ca="1" si="748"/>
        <v>4447371.5621488057</v>
      </c>
      <c r="P1044" s="1359">
        <f t="shared" ca="1" si="748"/>
        <v>8526816.3334430382</v>
      </c>
      <c r="Q1044" s="1359" t="e">
        <v>#N/A</v>
      </c>
      <c r="R1044" s="1360"/>
      <c r="S1044" s="1358" t="s">
        <v>40</v>
      </c>
      <c r="T1044" s="1361"/>
    </row>
    <row r="1045" spans="1:20" ht="11.25" hidden="1" customHeight="1" x14ac:dyDescent="0.35">
      <c r="A1045" s="319"/>
      <c r="B1045" s="1358"/>
      <c r="C1045" s="1358">
        <f ca="1">SUM(G1045:Q1045)</f>
        <v>12720926.022828901</v>
      </c>
      <c r="D1045" s="1358">
        <f ca="1">(1+OFFSET(Analysis!$F$4,1,0)/100)^(1/12)-1</f>
        <v>1.8151029571964461E-3</v>
      </c>
      <c r="E1045" s="1358" t="s">
        <v>1497</v>
      </c>
      <c r="F1045" s="1362"/>
      <c r="G1045" s="1359">
        <f ca="1">G$680*IF(G$5&lt;CalcPoint,IF(DontCompound=1,1,(1+$D1045)^G$1064),1/((1+$D1045)^G$1064))+G$1063</f>
        <v>0</v>
      </c>
      <c r="H1045" s="1359">
        <f t="shared" ref="H1045:P1046" ca="1" si="749">H$680*IF(H$5&lt;=CalcPoint,IF(DontCompound=1,1,(1+$D1045)^IF(MYDisc,H$1066,H$1064)),1/((1+$D1045)^IF(MYDisc,H$1066,H$1064)))+H$1063</f>
        <v>-2533301.796417851</v>
      </c>
      <c r="I1045" s="1359">
        <f t="shared" ca="1" si="749"/>
        <v>-758783.8039947931</v>
      </c>
      <c r="J1045" s="1359">
        <f t="shared" ca="1" si="749"/>
        <v>-280311.30445095489</v>
      </c>
      <c r="K1045" s="1359">
        <f t="shared" ca="1" si="749"/>
        <v>-354674.05902936484</v>
      </c>
      <c r="L1045" s="1359">
        <f t="shared" ca="1" si="749"/>
        <v>1268556.0484490299</v>
      </c>
      <c r="M1045" s="1359">
        <f t="shared" ca="1" si="749"/>
        <v>1648567.3436695414</v>
      </c>
      <c r="N1045" s="1359">
        <f t="shared" ca="1" si="749"/>
        <v>2413108.3787871026</v>
      </c>
      <c r="O1045" s="1359">
        <f t="shared" ca="1" si="749"/>
        <v>3187007.6636768449</v>
      </c>
      <c r="P1045" s="1359">
        <f t="shared" ca="1" si="749"/>
        <v>4197906.0030438667</v>
      </c>
      <c r="Q1045" s="1359">
        <f ca="1">IF(UsePerpetuity=1,IF(PerpetuityLimitation&gt;1,Specs!$AC$78,Result!$N$24),Q$680)*IF(OFFSET(Q$5,0,-1)&lt;=CalcPoint,IF(DontCompound=1,1,(1+$D1045)^IF(MYDisc,Q$1066,Q$1064)),1/((1+$D1045)^IF(MYDisc,Q$1066,Q$1064)))+Q$1063</f>
        <v>3932851.5490954798</v>
      </c>
      <c r="R1045" s="1360"/>
      <c r="S1045" s="1358" t="s">
        <v>40</v>
      </c>
      <c r="T1045" s="1361"/>
    </row>
    <row r="1046" spans="1:20" ht="11.25" hidden="1" customHeight="1" x14ac:dyDescent="0.35">
      <c r="A1046" s="319"/>
      <c r="B1046" s="1358"/>
      <c r="C1046" s="1358">
        <f ca="1">SUM(G1046:Q1046)</f>
        <v>12533386.900070179</v>
      </c>
      <c r="D1046" s="1358">
        <f ca="1">(1+OFFSET(Analysis!$G$4,1,0)/100)^(1/12)-1</f>
        <v>2.0394669228385176E-3</v>
      </c>
      <c r="E1046" s="1358" t="s">
        <v>1498</v>
      </c>
      <c r="F1046" s="1362"/>
      <c r="G1046" s="1359">
        <f ca="1">G$680*IF(G$5&lt;CalcPoint,IF(DontCompound=1,1,(1+$D1046)^G$1064),1/((1+$D1046)^G$1064))+G$1063</f>
        <v>0</v>
      </c>
      <c r="H1046" s="1359">
        <f t="shared" ca="1" si="749"/>
        <v>-2532734.5716168578</v>
      </c>
      <c r="I1046" s="1359">
        <f t="shared" ca="1" si="749"/>
        <v>-758444.04754898697</v>
      </c>
      <c r="J1046" s="1359">
        <f t="shared" ca="1" si="749"/>
        <v>-280123.05535373848</v>
      </c>
      <c r="K1046" s="1359">
        <f t="shared" ca="1" si="749"/>
        <v>-354356.50923812232</v>
      </c>
      <c r="L1046" s="1359">
        <f t="shared" ca="1" si="749"/>
        <v>1264019.0486477786</v>
      </c>
      <c r="M1046" s="1359">
        <f t="shared" ca="1" si="749"/>
        <v>1638262.9888491381</v>
      </c>
      <c r="N1046" s="1359">
        <f t="shared" ca="1" si="749"/>
        <v>2391589.9714392177</v>
      </c>
      <c r="O1046" s="1359">
        <f t="shared" ca="1" si="749"/>
        <v>3150111.8371890569</v>
      </c>
      <c r="P1046" s="1359">
        <f t="shared" ca="1" si="749"/>
        <v>4138172.0545416279</v>
      </c>
      <c r="Q1046" s="1359">
        <f ca="1">IF(UsePerpetuity=1,IF(PerpetuityLimitation&gt;1,Specs!$AD$78,Result!$N$25),Q$680)*IF(OFFSET(Q$5,0,-1)&lt;=CalcPoint,IF(DontCompound=1,1,(1+$D1046)^IF(MYDisc,Q$1066,Q$1064)),1/((1+$D1046)^IF(MYDisc,Q$1066,Q$1064)))+Q$1063</f>
        <v>3876889.1831610645</v>
      </c>
      <c r="R1046" s="1360"/>
      <c r="S1046" s="1358" t="s">
        <v>40</v>
      </c>
      <c r="T1046" s="1361"/>
    </row>
    <row r="1047" spans="1:20" ht="11.25" hidden="1" customHeight="1" x14ac:dyDescent="0.35">
      <c r="A1047" s="319"/>
      <c r="B1047" s="1358"/>
      <c r="C1047" s="1358">
        <f ca="1">ResultNPV</f>
        <v>12348686.255399536</v>
      </c>
      <c r="D1047" s="1358">
        <f>DiscMonth</f>
        <v>2.2632796417700884E-3</v>
      </c>
      <c r="E1047" s="1358" t="s">
        <v>1499</v>
      </c>
      <c r="F1047" s="1362"/>
      <c r="G1047" s="1359"/>
      <c r="H1047" s="1359"/>
      <c r="I1047" s="1359"/>
      <c r="J1047" s="1359"/>
      <c r="K1047" s="1359"/>
      <c r="L1047" s="1359"/>
      <c r="M1047" s="1359"/>
      <c r="N1047" s="1359"/>
      <c r="O1047" s="1359"/>
      <c r="P1047" s="1359"/>
      <c r="Q1047" s="1359"/>
      <c r="R1047" s="1360"/>
      <c r="S1047" s="1358" t="s">
        <v>40</v>
      </c>
      <c r="T1047" s="1361"/>
    </row>
    <row r="1048" spans="1:20" ht="11.25" hidden="1" customHeight="1" x14ac:dyDescent="0.35">
      <c r="A1048" s="319"/>
      <c r="B1048" s="1358"/>
      <c r="C1048" s="1358">
        <f ca="1">SUM(G1048:Q1048)</f>
        <v>12166772.503094522</v>
      </c>
      <c r="D1048" s="1358">
        <f ca="1">(1+OFFSET(Analysis!$I$4,1,0)/100)^(1/12)-1</f>
        <v>2.486543938297725E-3</v>
      </c>
      <c r="E1048" s="1358" t="s">
        <v>1500</v>
      </c>
      <c r="F1048" s="1362"/>
      <c r="G1048" s="1359">
        <f ca="1">G$680*IF(G$5&lt;CalcPoint,IF(DontCompound=1,1,(1+$D1048)^G$1064),1/((1+$D1048)^G$1064))+G$1063</f>
        <v>0</v>
      </c>
      <c r="H1048" s="1359">
        <f t="shared" ref="H1048:P1049" ca="1" si="750">H$680*IF(H$5&lt;=CalcPoint,IF(DontCompound=1,1,(1+$D1048)^IF(MYDisc,H$1066,H$1064)),1/((1+$D1048)^IF(MYDisc,H$1066,H$1064)))+H$1063</f>
        <v>-2531605.052801792</v>
      </c>
      <c r="I1048" s="1359">
        <f t="shared" ca="1" si="750"/>
        <v>-757767.71469815122</v>
      </c>
      <c r="J1048" s="1359">
        <f t="shared" ca="1" si="750"/>
        <v>-279748.4446307632</v>
      </c>
      <c r="K1048" s="1359">
        <f t="shared" ca="1" si="750"/>
        <v>-353724.8051837926</v>
      </c>
      <c r="L1048" s="1359">
        <f t="shared" ca="1" si="750"/>
        <v>1255029.7589723829</v>
      </c>
      <c r="M1048" s="1359">
        <f t="shared" ca="1" si="750"/>
        <v>1617928.5131824713</v>
      </c>
      <c r="N1048" s="1359">
        <f t="shared" ca="1" si="750"/>
        <v>2349295.9839878632</v>
      </c>
      <c r="O1048" s="1359">
        <f t="shared" ca="1" si="750"/>
        <v>3077884.2910565552</v>
      </c>
      <c r="P1048" s="1359">
        <f t="shared" ca="1" si="750"/>
        <v>4021704.5620212057</v>
      </c>
      <c r="Q1048" s="1359">
        <f ca="1">IF(UsePerpetuity=1,IF(PerpetuityLimitation&gt;1,Specs!$AE$78,Result!$N$27),Q$680)*IF(OFFSET(Q$5,0,-1)&lt;=CalcPoint,IF(DontCompound=1,1,(1+$D1048)^IF(MYDisc,Q$1066,Q$1064)),1/((1+$D1048)^IF(MYDisc,Q$1066,Q$1064)))+Q$1063</f>
        <v>3767775.4111885428</v>
      </c>
      <c r="R1048" s="1360"/>
      <c r="S1048" s="1358" t="s">
        <v>40</v>
      </c>
      <c r="T1048" s="1361"/>
    </row>
    <row r="1049" spans="1:20" ht="11.25" hidden="1" customHeight="1" x14ac:dyDescent="0.35">
      <c r="A1049" s="319"/>
      <c r="B1049" s="1358"/>
      <c r="C1049" s="1358">
        <f ca="1">SUM(G1049:Q1049)</f>
        <v>11987595.142939743</v>
      </c>
      <c r="D1049" s="1358">
        <f ca="1">(1+OFFSET(Analysis!$J$4,1,0)/100)^(1/12)-1</f>
        <v>2.7092626147666721E-3</v>
      </c>
      <c r="E1049" s="1358" t="s">
        <v>1501</v>
      </c>
      <c r="F1049" s="1362"/>
      <c r="G1049" s="1359">
        <f ca="1">G$680*IF(G$5&lt;CalcPoint,IF(DontCompound=1,1,(1+$D1049)^G$1064),1/((1+$D1049)^G$1064))+G$1063</f>
        <v>0</v>
      </c>
      <c r="H1049" s="1359">
        <f t="shared" ca="1" si="750"/>
        <v>-2531042.7405267144</v>
      </c>
      <c r="I1049" s="1359">
        <f t="shared" ca="1" si="750"/>
        <v>-757431.126046677</v>
      </c>
      <c r="J1049" s="1359">
        <f t="shared" ca="1" si="750"/>
        <v>-279562.07545784133</v>
      </c>
      <c r="K1049" s="1359">
        <f t="shared" ca="1" si="750"/>
        <v>-353410.63684271974</v>
      </c>
      <c r="L1049" s="1359">
        <f t="shared" ca="1" si="750"/>
        <v>1250576.9682610529</v>
      </c>
      <c r="M1049" s="1359">
        <f t="shared" ca="1" si="750"/>
        <v>1607896.2882945968</v>
      </c>
      <c r="N1049" s="1359">
        <f t="shared" ca="1" si="750"/>
        <v>2328513.4018325778</v>
      </c>
      <c r="O1049" s="1359">
        <f t="shared" ca="1" si="750"/>
        <v>3042535.0944606117</v>
      </c>
      <c r="P1049" s="1359">
        <f t="shared" ca="1" si="750"/>
        <v>3964932.2675634883</v>
      </c>
      <c r="Q1049" s="1359">
        <f ca="1">IF(UsePerpetuity=1,IF(PerpetuityLimitation&gt;1,Specs!$AF$78,Result!$N$28),Q$680)*IF(OFFSET(Q$5,0,-1)&lt;=CalcPoint,IF(DontCompound=1,1,(1+$D1049)^IF(MYDisc,Q$1066,Q$1064)),1/((1+$D1049)^IF(MYDisc,Q$1066,Q$1064)))+Q$1063</f>
        <v>3714587.7014013678</v>
      </c>
      <c r="R1049" s="1360"/>
      <c r="S1049" s="1358" t="s">
        <v>40</v>
      </c>
      <c r="T1049" s="1361"/>
    </row>
    <row r="1050" spans="1:20" ht="11.25" hidden="1" customHeight="1" x14ac:dyDescent="0.35">
      <c r="A1050" s="319"/>
      <c r="B1050" s="1358"/>
      <c r="C1050" s="1358" t="s">
        <v>1502</v>
      </c>
      <c r="D1050" s="1358"/>
      <c r="E1050" s="1358" t="s">
        <v>1503</v>
      </c>
      <c r="F1050" s="1362"/>
      <c r="G1050" s="1359">
        <f>TotalInvestment*IF(G$5&lt;CalcPoint,IF(DontCompound=1,1,(1+IF(VariableRate=1,G$1062,DiscMonth))^G$1064),1/((1+IF(VariableRate=1,G$1062,DiscMonth))^G$1064))</f>
        <v>0</v>
      </c>
      <c r="H1050" s="1359">
        <f t="shared" ref="H1050:P1050" ca="1" si="751">TotalInvestment*IF(H$5&lt;=CalcPoint,IF(DontCompound=1,1,(1+IF(VariableRate=1,H$1062,DiscMonth))^IF(MYDisc,H$1066,H$1064)),1/((1+IF(VariableRate=1,H$1062,DiscMonth))^IF(MYDisc,H$1066,H$1064)))</f>
        <v>-1496612.746838467</v>
      </c>
      <c r="I1050" s="1359">
        <f t="shared" ca="1" si="751"/>
        <v>-497744.38088875136</v>
      </c>
      <c r="J1050" s="1359">
        <f t="shared" ca="1" si="751"/>
        <v>-347634.27304915222</v>
      </c>
      <c r="K1050" s="1359">
        <f t="shared" ca="1" si="751"/>
        <v>-346849.2561888569</v>
      </c>
      <c r="L1050" s="1359">
        <f t="shared" ca="1" si="751"/>
        <v>0</v>
      </c>
      <c r="M1050" s="1359">
        <f t="shared" ca="1" si="751"/>
        <v>-84479.546045100287</v>
      </c>
      <c r="N1050" s="1359">
        <f t="shared" ca="1" si="751"/>
        <v>0</v>
      </c>
      <c r="O1050" s="1359">
        <f t="shared" ca="1" si="751"/>
        <v>-40009.020095831867</v>
      </c>
      <c r="P1050" s="1359">
        <f t="shared" ca="1" si="751"/>
        <v>0</v>
      </c>
      <c r="Q1050" s="1359">
        <f ca="1">TotalInvestment*IF(OFFSET(Q$5,0,-1)&lt;=CalcPoint,IF(DontCompound=1,1,(1+IF(VariableRate=1,Q$1062,DiscMonth))^IF(MYDisc,Q$1066,Q$1064)),1/((1+IF(VariableRate=1,Q$1062,DiscMonth))^IF(MYDisc,Q$1066,Q$1064)))</f>
        <v>0</v>
      </c>
      <c r="R1050" s="1360"/>
      <c r="S1050" s="1358" t="s">
        <v>40</v>
      </c>
      <c r="T1050" s="1361"/>
    </row>
    <row r="1051" spans="1:20" ht="11.25" hidden="1" customHeight="1" x14ac:dyDescent="0.35">
      <c r="A1051" s="319"/>
      <c r="B1051" s="1358"/>
      <c r="C1051" s="1358">
        <f ca="1">SUM(G1051:Q1051)-IF(InvOrAcq&lt;&gt;2,0,-ResultInvestmentProposalPV-IF(AdjustDCVAwNetDebt=1,ResultNetDebt+OFFSET(Calculations!$G$521,0,1),0))+SUM(G1229:Q1229)</f>
        <v>12660846.450304043</v>
      </c>
      <c r="D1051" s="1358">
        <f ca="1">(1+OFFSET(Analysis!$F$4,1,0)/100)^(1/12)-1</f>
        <v>1.8151029571964461E-3</v>
      </c>
      <c r="E1051" s="1358" t="s">
        <v>1504</v>
      </c>
      <c r="F1051" s="1362"/>
      <c r="G1051" s="1359"/>
      <c r="H1051" s="1359" t="str">
        <f t="shared" ref="H1051:L1052" ca="1" si="752">IF(SUM(H$516)&lt;&gt;0,(CHOOSE(EvaBAT,H$519,H$520)-H1056)*IF(H$5&lt;=CalcPoint,IF(DontCompound=1,1,(1+$D1051)^IF(MYDisc,H$1066,H$1064)),1/((1+$D1051)^IF(MYDisc,H$1066,H$1064))),"-")</f>
        <v>-</v>
      </c>
      <c r="I1051" s="1359" t="str">
        <f t="shared" ca="1" si="752"/>
        <v>-</v>
      </c>
      <c r="J1051" s="1359" t="str">
        <f t="shared" ca="1" si="752"/>
        <v>-</v>
      </c>
      <c r="K1051" s="1359">
        <f t="shared" ca="1" si="752"/>
        <v>113686.20093778879</v>
      </c>
      <c r="L1051" s="1359">
        <f t="shared" ca="1" si="752"/>
        <v>1088831.4338944212</v>
      </c>
      <c r="M1051" s="1359">
        <f t="shared" ref="M1051:N1051" ca="1" si="753">IF(SUM(M$516)&lt;&gt;0,(CHOOSE(EvaBAT,M$519,M$520)-M1056)*IF(M$5&lt;=CalcPoint,IF(DontCompound=1,1,(1+$D1051)^IF(MYDisc,M$1066,M$1064)),1/((1+$D1051)^IF(MYDisc,M$1066,M$1064))),"-")</f>
        <v>1763959.3489320709</v>
      </c>
      <c r="N1051" s="1359">
        <f t="shared" ca="1" si="753"/>
        <v>2559829.0050120354</v>
      </c>
      <c r="O1051" s="1359">
        <f t="shared" ref="O1051:P1051" ca="1" si="754">IF(SUM(O$516)&lt;&gt;0,(CHOOSE(EvaBAT,O$519,O$520)-O1056)*IF(O$5&lt;=CalcPoint,IF(DontCompound=1,1,(1+$D1051)^IF(MYDisc,O$1066,O$1064)),1/((1+$D1051)^IF(MYDisc,O$1066,O$1064))),"-")</f>
        <v>3482040.0295697586</v>
      </c>
      <c r="P1051" s="1359">
        <f t="shared" ca="1" si="754"/>
        <v>4576034.0642109141</v>
      </c>
      <c r="Q1051" s="1359">
        <f ca="1">IF(AND(NoResCol=1,UsePerpetuity&lt;&gt;1),0,IF(DCVAResidual=1,IF(UsePerpetuity=1,OFFSET(CHOOSE(EvaBAT,Q$519,Q$520,Q$511),0,-1)*IF($D1056&lt;&gt;0,1/($D1056),1)-Q$521,CHOOSE(EvaBAT,Q$519,Q$520,Q$511)-Q$522-IF(DCVAAdjust=1,Q$322+Q$626,0)),0)*IF(OFFSET(Q$5,0,-1)&lt;=CalcPoint,IF(DontCompound=1,1,(1+IF(VariableRate=1,Q$1062,DiscMonth))^IF(MYDisc,Q$1066,Q$1064)),1/((1+IF(VariableRate=1,Q$1062,DiscMonth))^IF(MYDisc,Q$1066,Q$1064))))</f>
        <v>-923533.63225294731</v>
      </c>
      <c r="R1051" s="1360"/>
      <c r="S1051" s="1358" t="s">
        <v>40</v>
      </c>
      <c r="T1051" s="1361"/>
    </row>
    <row r="1052" spans="1:20" ht="11.25" hidden="1" customHeight="1" x14ac:dyDescent="0.35">
      <c r="A1052" s="319"/>
      <c r="B1052" s="1358"/>
      <c r="C1052" s="1358">
        <f ca="1">SUM(G1052:Q1052)-IF(InvOrAcq&lt;&gt;2,0,-ResultInvestmentProposalPV-IF(AdjustDCVAwNetDebt=1,ResultNetDebt+OFFSET(Calculations!$G$521,0,1),0))+SUM(G1230:Q1230)</f>
        <v>12449154.437021401</v>
      </c>
      <c r="D1052" s="1358">
        <f ca="1">(1+OFFSET(Analysis!$G$4,1,0)/100)^(1/12)-1</f>
        <v>2.0394669228385176E-3</v>
      </c>
      <c r="E1052" s="1358" t="s">
        <v>1505</v>
      </c>
      <c r="F1052" s="1362"/>
      <c r="G1052" s="1359"/>
      <c r="H1052" s="1359" t="str">
        <f t="shared" ca="1" si="752"/>
        <v>-</v>
      </c>
      <c r="I1052" s="1359" t="str">
        <f t="shared" ca="1" si="752"/>
        <v>-</v>
      </c>
      <c r="J1052" s="1359" t="str">
        <f t="shared" ca="1" si="752"/>
        <v>-</v>
      </c>
      <c r="K1052" s="1359">
        <f t="shared" ca="1" si="752"/>
        <v>102280.29772510682</v>
      </c>
      <c r="L1052" s="1359">
        <f t="shared" ca="1" si="752"/>
        <v>1074032.4079766923</v>
      </c>
      <c r="M1052" s="1359">
        <f t="shared" ref="M1052:N1052" ca="1" si="755">IF(SUM(M$516)&lt;&gt;0,(CHOOSE(EvaBAT,M$519,M$520)-M1057)*IF(M$5&lt;=CalcPoint,IF(DontCompound=1,1,(1+$D1052)^IF(MYDisc,M$1066,M$1064)),1/((1+$D1052)^IF(MYDisc,M$1066,M$1064))),"-")</f>
        <v>1742139.1220056866</v>
      </c>
      <c r="N1052" s="1359">
        <f t="shared" ca="1" si="755"/>
        <v>2525876.2801139434</v>
      </c>
      <c r="O1052" s="1359">
        <f t="shared" ref="O1052:P1052" ca="1" si="756">IF(SUM(O$516)&lt;&gt;0,(CHOOSE(EvaBAT,O$519,O$520)-O1057)*IF(O$5&lt;=CalcPoint,IF(DontCompound=1,1,(1+$D1052)^IF(MYDisc,O$1066,O$1064)),1/((1+$D1052)^IF(MYDisc,O$1066,O$1064))),"-")</f>
        <v>3430027.1473156395</v>
      </c>
      <c r="P1052" s="1359">
        <f t="shared" ca="1" si="756"/>
        <v>4498332.8141372772</v>
      </c>
      <c r="Q1052" s="1359">
        <f ca="1">IF(AND(NoResCol=1,UsePerpetuity&lt;&gt;1),0,IF(DCVAResidual=1,IF(UsePerpetuity=1,OFFSET(CHOOSE(EvaBAT,Q$519,Q$520,Q$511),0,-1)*IF($D1057&lt;&gt;0,1/($D1057),1)-Q$521,CHOOSE(EvaBAT,Q$519,Q$520,Q$511)-Q$522-IF(DCVAAdjust=1,Q$322+Q$626,0)),0)*IF(OFFSET(Q$5,0,-1)&lt;=CalcPoint,IF(DontCompound=1,1,(1+IF(VariableRate=1,Q$1062,DiscMonth))^IF(MYDisc,Q$1066,Q$1064)),1/((1+IF(VariableRate=1,Q$1062,DiscMonth))^IF(MYDisc,Q$1066,Q$1064))))</f>
        <v>-923533.63225294731</v>
      </c>
      <c r="R1052" s="1360"/>
      <c r="S1052" s="1358" t="s">
        <v>40</v>
      </c>
      <c r="T1052" s="1361"/>
    </row>
    <row r="1053" spans="1:20" ht="11.25" hidden="1" customHeight="1" x14ac:dyDescent="0.35">
      <c r="A1053" s="319"/>
      <c r="B1053" s="1358"/>
      <c r="C1053" s="1358">
        <f ca="1">ResultDCVA</f>
        <v>12240577.31097028</v>
      </c>
      <c r="D1053" s="1358">
        <f>DiscMonth</f>
        <v>2.2632796417700884E-3</v>
      </c>
      <c r="E1053" s="1358" t="s">
        <v>1506</v>
      </c>
      <c r="F1053" s="1362"/>
      <c r="G1053" s="1359"/>
      <c r="H1053" s="1359"/>
      <c r="I1053" s="1359"/>
      <c r="J1053" s="1359"/>
      <c r="K1053" s="1359"/>
      <c r="L1053" s="1359"/>
      <c r="M1053" s="1359"/>
      <c r="N1053" s="1359"/>
      <c r="O1053" s="1359"/>
      <c r="P1053" s="1359"/>
      <c r="Q1053" s="1359"/>
      <c r="R1053" s="1360"/>
      <c r="S1053" s="1358" t="s">
        <v>40</v>
      </c>
      <c r="T1053" s="1361"/>
    </row>
    <row r="1054" spans="1:20" ht="11.25" hidden="1" customHeight="1" x14ac:dyDescent="0.35">
      <c r="A1054" s="319"/>
      <c r="B1054" s="1358"/>
      <c r="C1054" s="1358">
        <f ca="1">SUM(G1054:Q1054)-IF(InvOrAcq&lt;&gt;2,0,-ResultInvestmentProposalPV-IF(AdjustDCVAwNetDebt=1,ResultNetDebt+OFFSET(Calculations!$G$521,0,1),0))+SUM(G1231:Q1231)</f>
        <v>12035058.175949829</v>
      </c>
      <c r="D1054" s="1358">
        <f ca="1">(1+OFFSET(Analysis!$I$4,1,0)/100)^(1/12)-1</f>
        <v>2.486543938297725E-3</v>
      </c>
      <c r="E1054" s="1358" t="s">
        <v>1507</v>
      </c>
      <c r="F1054" s="1362"/>
      <c r="G1054" s="1359"/>
      <c r="H1054" s="1359" t="str">
        <f t="shared" ref="H1054:L1055" ca="1" si="757">IF(SUM(H$516)&lt;&gt;0,(CHOOSE(EvaBAT,H$519,H$520)-H1059)*IF(H$5&lt;=CalcPoint,IF(DontCompound=1,1,(1+$D1054)^IF(MYDisc,H$1066,H$1064)),1/((1+$D1054)^IF(MYDisc,H$1066,H$1064))),"-")</f>
        <v>-</v>
      </c>
      <c r="I1054" s="1359" t="str">
        <f t="shared" ca="1" si="757"/>
        <v>-</v>
      </c>
      <c r="J1054" s="1359" t="str">
        <f t="shared" ca="1" si="757"/>
        <v>-</v>
      </c>
      <c r="K1054" s="1359">
        <f t="shared" ca="1" si="757"/>
        <v>79530.034541060653</v>
      </c>
      <c r="L1054" s="1359">
        <f t="shared" ca="1" si="757"/>
        <v>1044739.7190297348</v>
      </c>
      <c r="M1054" s="1359">
        <f t="shared" ref="M1054:N1054" ca="1" si="758">IF(SUM(M$516)&lt;&gt;0,(CHOOSE(EvaBAT,M$519,M$520)-M1059)*IF(M$5&lt;=CalcPoint,IF(DontCompound=1,1,(1+$D1054)^IF(MYDisc,M$1066,M$1064)),1/((1+$D1054)^IF(MYDisc,M$1066,M$1064))),"-")</f>
        <v>1699194.0525501228</v>
      </c>
      <c r="N1054" s="1359">
        <f t="shared" ca="1" si="758"/>
        <v>2459349.0928209876</v>
      </c>
      <c r="O1054" s="1359">
        <f t="shared" ref="O1054:P1054" ca="1" si="759">IF(SUM(O$516)&lt;&gt;0,(CHOOSE(EvaBAT,O$519,O$520)-O1059)*IF(O$5&lt;=CalcPoint,IF(DontCompound=1,1,(1+$D1054)^IF(MYDisc,O$1066,O$1064)),1/((1+$D1054)^IF(MYDisc,O$1066,O$1064))),"-")</f>
        <v>3328515.1789782727</v>
      </c>
      <c r="P1054" s="1359">
        <f t="shared" ca="1" si="759"/>
        <v>4347263.7302825954</v>
      </c>
      <c r="Q1054" s="1359">
        <f ca="1">IF(AND(NoResCol=1,UsePerpetuity&lt;&gt;1),0,IF(DCVAResidual=1,IF(UsePerpetuity=1,OFFSET(CHOOSE(EvaBAT,Q$519,Q$520,Q$511),0,-1)*IF($D1059&lt;&gt;0,1/($D1059),1)-Q$521,CHOOSE(EvaBAT,Q$519,Q$520,Q$511)-Q$522-IF(DCVAAdjust=1,Q$322+Q$626,0)),0)*IF(OFFSET(Q$5,0,-1)&lt;=CalcPoint,IF(DontCompound=1,1,(1+IF(VariableRate=1,Q$1062,DiscMonth))^IF(MYDisc,Q$1066,Q$1064)),1/((1+IF(VariableRate=1,Q$1062,DiscMonth))^IF(MYDisc,Q$1066,Q$1064))))</f>
        <v>-923533.63225294731</v>
      </c>
      <c r="R1054" s="1360"/>
      <c r="S1054" s="1358" t="s">
        <v>40</v>
      </c>
      <c r="T1054" s="1361"/>
    </row>
    <row r="1055" spans="1:20" ht="11.25" hidden="1" customHeight="1" x14ac:dyDescent="0.35">
      <c r="A1055" s="319"/>
      <c r="B1055" s="1358"/>
      <c r="C1055" s="1358">
        <f ca="1">SUM(G1055:Q1055)-IF(InvOrAcq&lt;&gt;2,0,-ResultInvestmentProposalPV-IF(AdjustDCVAwNetDebt=1,ResultNetDebt+OFFSET(Calculations!$G$521,0,1),0))+SUM(G1232:Q1232)</f>
        <v>11832541.338997655</v>
      </c>
      <c r="D1055" s="1358">
        <f ca="1">(1+OFFSET(Analysis!$J$4,1,0)/100)^(1/12)-1</f>
        <v>2.7092626147666721E-3</v>
      </c>
      <c r="E1055" s="1358" t="s">
        <v>1508</v>
      </c>
      <c r="F1055" s="1362"/>
      <c r="G1055" s="1359"/>
      <c r="H1055" s="1359" t="str">
        <f t="shared" ca="1" si="757"/>
        <v>-</v>
      </c>
      <c r="I1055" s="1359" t="str">
        <f t="shared" ca="1" si="757"/>
        <v>-</v>
      </c>
      <c r="J1055" s="1359" t="str">
        <f t="shared" ca="1" si="757"/>
        <v>-</v>
      </c>
      <c r="K1055" s="1359">
        <f t="shared" ca="1" si="757"/>
        <v>68185.455216095987</v>
      </c>
      <c r="L1055" s="1359">
        <f t="shared" ca="1" si="757"/>
        <v>1030244.1818020869</v>
      </c>
      <c r="M1055" s="1359">
        <f t="shared" ref="M1055:N1055" ca="1" si="760">IF(SUM(M$516)&lt;&gt;0,(CHOOSE(EvaBAT,M$519,M$520)-M1060)*IF(M$5&lt;=CalcPoint,IF(DontCompound=1,1,(1+$D1055)^IF(MYDisc,M$1066,M$1064)),1/((1+$D1055)^IF(MYDisc,M$1066,M$1064))),"-")</f>
        <v>1678063.4002718988</v>
      </c>
      <c r="N1055" s="1359">
        <f t="shared" ca="1" si="760"/>
        <v>2426760.4214921133</v>
      </c>
      <c r="O1055" s="1359">
        <f t="shared" ref="O1055:P1055" ca="1" si="761">IF(SUM(O$516)&lt;&gt;0,(CHOOSE(EvaBAT,O$519,O$520)-O1060)*IF(O$5&lt;=CalcPoint,IF(DontCompound=1,1,(1+$D1055)^IF(MYDisc,O$1066,O$1064)),1/((1+$D1055)^IF(MYDisc,O$1066,O$1064))),"-")</f>
        <v>3278985.6375853471</v>
      </c>
      <c r="P1055" s="1359">
        <f t="shared" ca="1" si="761"/>
        <v>4273835.8748830594</v>
      </c>
      <c r="Q1055" s="1359">
        <f ca="1">IF(AND(NoResCol=1,UsePerpetuity&lt;&gt;1),0,IF(DCVAResidual=1,IF(UsePerpetuity=1,OFFSET(CHOOSE(EvaBAT,Q$519,Q$520,Q$511),0,-1)*IF($D1060&lt;&gt;0,1/($D1060),1)-Q$521,CHOOSE(EvaBAT,Q$519,Q$520,Q$511)-Q$522-IF(DCVAAdjust=1,Q$322+Q$626,0)),0)*IF(OFFSET(Q$5,0,-1)&lt;=CalcPoint,IF(DontCompound=1,1,(1+IF(VariableRate=1,Q$1062,DiscMonth))^IF(MYDisc,Q$1066,Q$1064)),1/((1+IF(VariableRate=1,Q$1062,DiscMonth))^IF(MYDisc,Q$1066,Q$1064))))</f>
        <v>-923533.63225294731</v>
      </c>
      <c r="R1055" s="1360"/>
      <c r="S1055" s="1358" t="s">
        <v>40</v>
      </c>
      <c r="T1055" s="1361"/>
    </row>
    <row r="1056" spans="1:20" ht="11.25" hidden="1" customHeight="1" x14ac:dyDescent="0.35">
      <c r="A1056" s="319"/>
      <c r="B1056" s="1358"/>
      <c r="C1056" s="1358"/>
      <c r="D1056" s="1358">
        <f ca="1">OFFSET(Analysis!$F$4,1,0)/100</f>
        <v>2.2000000000000002E-2</v>
      </c>
      <c r="E1056" s="1358" t="s">
        <v>1509</v>
      </c>
      <c r="F1056" s="1362"/>
      <c r="G1056" s="1359"/>
      <c r="H1056" s="1359">
        <f t="shared" ref="H1056:Q1060" ca="1" si="762">H$521*$D1056</f>
        <v>0</v>
      </c>
      <c r="I1056" s="1359">
        <f t="shared" ca="1" si="762"/>
        <v>0</v>
      </c>
      <c r="J1056" s="1359">
        <f t="shared" ca="1" si="762"/>
        <v>0</v>
      </c>
      <c r="K1056" s="1359">
        <f t="shared" ca="1" si="762"/>
        <v>91172.933613324174</v>
      </c>
      <c r="L1056" s="1359">
        <f t="shared" ca="1" si="762"/>
        <v>90129.181098953355</v>
      </c>
      <c r="M1056" s="1359">
        <f t="shared" ca="1" si="762"/>
        <v>91426.548675348051</v>
      </c>
      <c r="N1056" s="1359">
        <f t="shared" ca="1" si="762"/>
        <v>96565.235408551365</v>
      </c>
      <c r="O1056" s="1359">
        <f t="shared" ca="1" si="762"/>
        <v>104073.9014614129</v>
      </c>
      <c r="P1056" s="1359">
        <f t="shared" ca="1" si="762"/>
        <v>114718.18597968393</v>
      </c>
      <c r="Q1056" s="1359">
        <f t="shared" ca="1" si="762"/>
        <v>54392.500435918337</v>
      </c>
      <c r="R1056" s="1360"/>
      <c r="S1056" s="1358" t="s">
        <v>40</v>
      </c>
      <c r="T1056" s="1361"/>
    </row>
    <row r="1057" spans="1:20" ht="11.25" hidden="1" customHeight="1" x14ac:dyDescent="0.35">
      <c r="A1057" s="319"/>
      <c r="B1057" s="1358"/>
      <c r="C1057" s="1358"/>
      <c r="D1057" s="1358">
        <f ca="1">OFFSET(Analysis!$G$4,1,0)/100</f>
        <v>2.4750000000000001E-2</v>
      </c>
      <c r="E1057" s="1358" t="s">
        <v>1510</v>
      </c>
      <c r="F1057" s="1362"/>
      <c r="G1057" s="1359"/>
      <c r="H1057" s="1359">
        <f t="shared" ca="1" si="762"/>
        <v>0</v>
      </c>
      <c r="I1057" s="1359">
        <f t="shared" ca="1" si="762"/>
        <v>0</v>
      </c>
      <c r="J1057" s="1359">
        <f t="shared" ca="1" si="762"/>
        <v>0</v>
      </c>
      <c r="K1057" s="1359">
        <f t="shared" ca="1" si="762"/>
        <v>102569.5503149897</v>
      </c>
      <c r="L1057" s="1359">
        <f t="shared" ca="1" si="762"/>
        <v>101395.32873632251</v>
      </c>
      <c r="M1057" s="1359">
        <f t="shared" ca="1" si="762"/>
        <v>102854.86725976656</v>
      </c>
      <c r="N1057" s="1359">
        <f t="shared" ca="1" si="762"/>
        <v>108635.88983462028</v>
      </c>
      <c r="O1057" s="1359">
        <f t="shared" ca="1" si="762"/>
        <v>117083.13914408951</v>
      </c>
      <c r="P1057" s="1359">
        <f t="shared" ca="1" si="762"/>
        <v>129057.95922714441</v>
      </c>
      <c r="Q1057" s="1359">
        <f t="shared" ca="1" si="762"/>
        <v>61191.562990408122</v>
      </c>
      <c r="R1057" s="1360"/>
      <c r="S1057" s="1358" t="s">
        <v>40</v>
      </c>
      <c r="T1057" s="1361"/>
    </row>
    <row r="1058" spans="1:20" ht="11.25" hidden="1" customHeight="1" x14ac:dyDescent="0.35">
      <c r="A1058" s="319"/>
      <c r="B1058" s="1358"/>
      <c r="C1058" s="1358"/>
      <c r="D1058" s="1358">
        <f>DiscYear/100</f>
        <v>2.75E-2</v>
      </c>
      <c r="E1058" s="1358" t="s">
        <v>1511</v>
      </c>
      <c r="F1058" s="1362"/>
      <c r="G1058" s="1359"/>
      <c r="H1058" s="1359">
        <f t="shared" ca="1" si="762"/>
        <v>0</v>
      </c>
      <c r="I1058" s="1359">
        <f t="shared" ca="1" si="762"/>
        <v>0</v>
      </c>
      <c r="J1058" s="1359">
        <f t="shared" ca="1" si="762"/>
        <v>0</v>
      </c>
      <c r="K1058" s="1359">
        <f t="shared" ca="1" si="762"/>
        <v>113966.16701665521</v>
      </c>
      <c r="L1058" s="1359">
        <f t="shared" ca="1" si="762"/>
        <v>112661.47637369168</v>
      </c>
      <c r="M1058" s="1359">
        <f t="shared" ca="1" si="762"/>
        <v>114283.18584418506</v>
      </c>
      <c r="N1058" s="1359">
        <f t="shared" ca="1" si="762"/>
        <v>120706.54426068919</v>
      </c>
      <c r="O1058" s="1359">
        <f t="shared" ca="1" si="762"/>
        <v>130092.37682676612</v>
      </c>
      <c r="P1058" s="1359">
        <f t="shared" ca="1" si="762"/>
        <v>143397.73247460488</v>
      </c>
      <c r="Q1058" s="1359">
        <f t="shared" ca="1" si="762"/>
        <v>67990.625544897906</v>
      </c>
      <c r="R1058" s="1360"/>
      <c r="S1058" s="1358" t="s">
        <v>40</v>
      </c>
      <c r="T1058" s="1361"/>
    </row>
    <row r="1059" spans="1:20" ht="11.25" hidden="1" customHeight="1" x14ac:dyDescent="0.35">
      <c r="A1059" s="319"/>
      <c r="B1059" s="1358"/>
      <c r="C1059" s="1358"/>
      <c r="D1059" s="1358">
        <f ca="1">OFFSET(Analysis!$I$4,1,0)/100</f>
        <v>3.0249999999999999E-2</v>
      </c>
      <c r="E1059" s="1358" t="s">
        <v>1512</v>
      </c>
      <c r="F1059" s="1362"/>
      <c r="G1059" s="1359"/>
      <c r="H1059" s="1359">
        <f t="shared" ca="1" si="762"/>
        <v>0</v>
      </c>
      <c r="I1059" s="1359">
        <f t="shared" ca="1" si="762"/>
        <v>0</v>
      </c>
      <c r="J1059" s="1359">
        <f t="shared" ca="1" si="762"/>
        <v>0</v>
      </c>
      <c r="K1059" s="1359">
        <f t="shared" ca="1" si="762"/>
        <v>125362.78371832073</v>
      </c>
      <c r="L1059" s="1359">
        <f t="shared" ca="1" si="762"/>
        <v>123927.62401106085</v>
      </c>
      <c r="M1059" s="1359">
        <f t="shared" ca="1" si="762"/>
        <v>125711.50442860356</v>
      </c>
      <c r="N1059" s="1359">
        <f t="shared" ca="1" si="762"/>
        <v>132777.19868675811</v>
      </c>
      <c r="O1059" s="1359">
        <f t="shared" ca="1" si="762"/>
        <v>143101.61450944273</v>
      </c>
      <c r="P1059" s="1359">
        <f t="shared" ca="1" si="762"/>
        <v>157737.50572206537</v>
      </c>
      <c r="Q1059" s="1359">
        <f t="shared" ca="1" si="762"/>
        <v>74789.688099387698</v>
      </c>
      <c r="R1059" s="1360"/>
      <c r="S1059" s="1358" t="s">
        <v>40</v>
      </c>
      <c r="T1059" s="1361"/>
    </row>
    <row r="1060" spans="1:20" ht="11.25" hidden="1" customHeight="1" x14ac:dyDescent="0.35">
      <c r="A1060" s="319"/>
      <c r="B1060" s="1358"/>
      <c r="C1060" s="1358"/>
      <c r="D1060" s="1358">
        <f ca="1">OFFSET(Analysis!$J$4,1,0)/100</f>
        <v>3.3000000000000002E-2</v>
      </c>
      <c r="E1060" s="1358" t="s">
        <v>1513</v>
      </c>
      <c r="F1060" s="1362"/>
      <c r="G1060" s="1359"/>
      <c r="H1060" s="1359">
        <f t="shared" ca="1" si="762"/>
        <v>0</v>
      </c>
      <c r="I1060" s="1359">
        <f t="shared" ca="1" si="762"/>
        <v>0</v>
      </c>
      <c r="J1060" s="1359">
        <f t="shared" ca="1" si="762"/>
        <v>0</v>
      </c>
      <c r="K1060" s="1359">
        <f t="shared" ca="1" si="762"/>
        <v>136759.40041998625</v>
      </c>
      <c r="L1060" s="1359">
        <f t="shared" ca="1" si="762"/>
        <v>135193.77164843003</v>
      </c>
      <c r="M1060" s="1359">
        <f t="shared" ca="1" si="762"/>
        <v>137139.82301302208</v>
      </c>
      <c r="N1060" s="1359">
        <f t="shared" ca="1" si="762"/>
        <v>144847.85311282703</v>
      </c>
      <c r="O1060" s="1359">
        <f t="shared" ca="1" si="762"/>
        <v>156110.85219211935</v>
      </c>
      <c r="P1060" s="1359">
        <f t="shared" ca="1" si="762"/>
        <v>172077.27896952588</v>
      </c>
      <c r="Q1060" s="1359">
        <f t="shared" ca="1" si="762"/>
        <v>81588.750653877491</v>
      </c>
      <c r="R1060" s="1360"/>
      <c r="S1060" s="1358" t="s">
        <v>40</v>
      </c>
      <c r="T1060" s="1361"/>
    </row>
    <row r="1061" spans="1:20" ht="11.25" hidden="1" customHeight="1" x14ac:dyDescent="0.35">
      <c r="A1061" s="319"/>
      <c r="B1061" s="1358"/>
      <c r="C1061" s="1358" t="s">
        <v>1514</v>
      </c>
      <c r="D1061" s="1358"/>
      <c r="E1061" s="1358" t="s">
        <v>1515</v>
      </c>
      <c r="F1061" s="1362"/>
      <c r="G1061" s="1359">
        <f t="shared" ref="G1061:Q1061" ca="1" si="763">IF(VariableRate=1,SUM(OFFSET($E$683,0,G$8)),SUM(DiscYear))</f>
        <v>2.75</v>
      </c>
      <c r="H1061" s="1359">
        <f t="shared" ca="1" si="763"/>
        <v>2.75</v>
      </c>
      <c r="I1061" s="1359">
        <f t="shared" ca="1" si="763"/>
        <v>2.75</v>
      </c>
      <c r="J1061" s="1359">
        <f t="shared" ca="1" si="763"/>
        <v>2.75</v>
      </c>
      <c r="K1061" s="1359">
        <f t="shared" ca="1" si="763"/>
        <v>2.75</v>
      </c>
      <c r="L1061" s="1359">
        <f t="shared" ca="1" si="763"/>
        <v>2.75</v>
      </c>
      <c r="M1061" s="1359">
        <f t="shared" ca="1" si="763"/>
        <v>2.75</v>
      </c>
      <c r="N1061" s="1359">
        <f t="shared" ca="1" si="763"/>
        <v>2.75</v>
      </c>
      <c r="O1061" s="1359">
        <f t="shared" ca="1" si="763"/>
        <v>2.75</v>
      </c>
      <c r="P1061" s="1359">
        <f t="shared" ca="1" si="763"/>
        <v>2.75</v>
      </c>
      <c r="Q1061" s="1359">
        <f t="shared" ca="1" si="763"/>
        <v>2.75</v>
      </c>
      <c r="R1061" s="1360"/>
      <c r="S1061" s="1358" t="s">
        <v>40</v>
      </c>
      <c r="T1061" s="1361"/>
    </row>
    <row r="1062" spans="1:20" ht="11.25" hidden="1" customHeight="1" x14ac:dyDescent="0.35">
      <c r="A1062" s="319"/>
      <c r="B1062" s="1358"/>
      <c r="C1062" s="1358" t="s">
        <v>1516</v>
      </c>
      <c r="D1062" s="1358"/>
      <c r="E1062" s="1358" t="s">
        <v>1517</v>
      </c>
      <c r="F1062" s="1362"/>
      <c r="G1062" s="1359">
        <f t="shared" ref="G1062:Q1062" ca="1" si="764">(1+G1061/100)^(1/12)-1</f>
        <v>2.2632796417700884E-3</v>
      </c>
      <c r="H1062" s="1359">
        <f t="shared" ca="1" si="764"/>
        <v>2.2632796417700884E-3</v>
      </c>
      <c r="I1062" s="1359">
        <f t="shared" ca="1" si="764"/>
        <v>2.2632796417700884E-3</v>
      </c>
      <c r="J1062" s="1359">
        <f t="shared" ca="1" si="764"/>
        <v>2.2632796417700884E-3</v>
      </c>
      <c r="K1062" s="1359">
        <f t="shared" ca="1" si="764"/>
        <v>2.2632796417700884E-3</v>
      </c>
      <c r="L1062" s="1359">
        <f t="shared" ca="1" si="764"/>
        <v>2.2632796417700884E-3</v>
      </c>
      <c r="M1062" s="1359">
        <f t="shared" ref="M1062:N1062" ca="1" si="765">(1+M1061/100)^(1/12)-1</f>
        <v>2.2632796417700884E-3</v>
      </c>
      <c r="N1062" s="1359">
        <f t="shared" ca="1" si="765"/>
        <v>2.2632796417700884E-3</v>
      </c>
      <c r="O1062" s="1359">
        <f t="shared" ref="O1062:P1062" ca="1" si="766">(1+O1061/100)^(1/12)-1</f>
        <v>2.2632796417700884E-3</v>
      </c>
      <c r="P1062" s="1359">
        <f t="shared" ca="1" si="766"/>
        <v>2.2632796417700884E-3</v>
      </c>
      <c r="Q1062" s="1359">
        <f t="shared" ca="1" si="764"/>
        <v>2.2632796417700884E-3</v>
      </c>
      <c r="R1062" s="1360"/>
      <c r="S1062" s="1358" t="s">
        <v>40</v>
      </c>
      <c r="T1062" s="1361"/>
    </row>
    <row r="1063" spans="1:20" ht="11.25" hidden="1" customHeight="1" x14ac:dyDescent="0.35">
      <c r="A1063" s="319"/>
      <c r="B1063" s="1358"/>
      <c r="C1063" s="1358" t="s">
        <v>1518</v>
      </c>
      <c r="D1063" s="1358"/>
      <c r="E1063" s="1358" t="s">
        <v>1519</v>
      </c>
      <c r="F1063" s="1369"/>
      <c r="G1063" s="1369">
        <f>ResultNetDebt</f>
        <v>0</v>
      </c>
      <c r="H1063" s="1369"/>
      <c r="I1063" s="1369"/>
      <c r="J1063" s="1369"/>
      <c r="K1063" s="1369"/>
      <c r="L1063" s="1369"/>
      <c r="M1063" s="1369"/>
      <c r="N1063" s="1369"/>
      <c r="O1063" s="1369"/>
      <c r="P1063" s="1369"/>
      <c r="Q1063" s="1369"/>
      <c r="R1063" s="1360"/>
      <c r="S1063" s="1358" t="s">
        <v>40</v>
      </c>
      <c r="T1063" s="1361"/>
    </row>
    <row r="1064" spans="1:20" ht="11.25" hidden="1" customHeight="1" x14ac:dyDescent="0.35">
      <c r="A1064" s="319"/>
      <c r="B1064" s="1358"/>
      <c r="C1064" s="1358" t="s">
        <v>1520</v>
      </c>
      <c r="D1064" s="1358"/>
      <c r="E1064" s="1358" t="s">
        <v>1521</v>
      </c>
      <c r="F1064" s="1369"/>
      <c r="G1064" s="1370">
        <f>IF(G$5&lt;=CalcPoint,SUMIF(G$5:$Q$5,"&lt;="&amp;CalcPoint,G$12:$Q$12)-SUM(G$12),SUMIF(G$5:$G$5,"&gt;"&amp;CalcPoint,G$12:$G$12))</f>
        <v>0</v>
      </c>
      <c r="H1064" s="1370">
        <f>IF(H$5&lt;=CalcPoint,SUMIF(H$5:$Q$5,"&lt;="&amp;CalcPoint,H$12:$Q$12)-SUM(H$12),SUMIF($G$5:H$5,"&gt;"&amp;CalcPoint,$G$12:H$12))</f>
        <v>1</v>
      </c>
      <c r="I1064" s="1370">
        <f>IF(I$5&lt;=CalcPoint,SUMIF(I$5:$Q$5,"&lt;="&amp;CalcPoint,I$12:$Q$12)-SUM(I$12),SUMIF($G$5:I$5,"&gt;"&amp;CalcPoint,$G$12:I$12))</f>
        <v>2</v>
      </c>
      <c r="J1064" s="1370">
        <f>IF(J$5&lt;=CalcPoint,SUMIF(J$5:$Q$5,"&lt;="&amp;CalcPoint,J$12:$Q$12)-SUM(J$12),SUMIF($G$5:J$5,"&gt;"&amp;CalcPoint,$G$12:J$12))</f>
        <v>3</v>
      </c>
      <c r="K1064" s="1370">
        <f>IF(K$5&lt;=CalcPoint,SUMIF(K$5:$Q$5,"&lt;="&amp;CalcPoint,K$12:$Q$12)-SUM(K$12),SUMIF($G$5:K$5,"&gt;"&amp;CalcPoint,$G$12:K$12))</f>
        <v>4</v>
      </c>
      <c r="L1064" s="1370">
        <f>IF(L$5&lt;=CalcPoint,SUMIF(L$5:$Q$5,"&lt;="&amp;CalcPoint,L$12:$Q$12)-SUM(L$12),SUMIF($G$5:L$5,"&gt;"&amp;CalcPoint,$G$12:L$12))</f>
        <v>16</v>
      </c>
      <c r="M1064" s="1370">
        <f>IF(M$5&lt;=CalcPoint,SUMIF(M$5:$Q$5,"&lt;="&amp;CalcPoint,M$12:$Q$12)-SUM(M$12),SUMIF($G$5:M$5,"&gt;"&amp;CalcPoint,$G$12:M$12))</f>
        <v>28</v>
      </c>
      <c r="N1064" s="1370">
        <f>IF(N$5&lt;=CalcPoint,SUMIF(N$5:$Q$5,"&lt;="&amp;CalcPoint,N$12:$Q$12)-SUM(N$12),SUMIF($G$5:N$5,"&gt;"&amp;CalcPoint,$G$12:N$12))</f>
        <v>40</v>
      </c>
      <c r="O1064" s="1370">
        <f>IF(O$5&lt;=CalcPoint,SUMIF(O$5:$Q$5,"&lt;="&amp;CalcPoint,O$12:$Q$12)-SUM(O$12),SUMIF($G$5:O$5,"&gt;"&amp;CalcPoint,$G$12:O$12))</f>
        <v>52</v>
      </c>
      <c r="P1064" s="1370">
        <f>IF(P$5&lt;=CalcPoint,SUMIF(P$5:$Q$5,"&lt;="&amp;CalcPoint,P$12:$Q$12)-SUM(P$12),SUMIF($G$5:P$5,"&gt;"&amp;CalcPoint,$G$12:P$12))</f>
        <v>64</v>
      </c>
      <c r="Q1064" s="1370">
        <f ca="1">OFFSET(Q1064,0,-1)</f>
        <v>64</v>
      </c>
      <c r="R1064" s="1360"/>
      <c r="S1064" s="1358" t="s">
        <v>40</v>
      </c>
      <c r="T1064" s="1361"/>
    </row>
    <row r="1065" spans="1:20" ht="11.25" hidden="1" customHeight="1" x14ac:dyDescent="0.35">
      <c r="A1065" s="319"/>
      <c r="B1065" s="1358"/>
      <c r="C1065" s="1358" t="s">
        <v>1522</v>
      </c>
      <c r="D1065" s="1358"/>
      <c r="E1065" s="1358" t="s">
        <v>1523</v>
      </c>
      <c r="F1065" s="1369"/>
      <c r="G1065" s="1370">
        <f>IF(G$5&lt;=CalcPointPB,SUMIF(G$5:$Q$5,"&lt;="&amp;CalcPointPB,G$12:$Q$12)-SUM(G$12),SUMIF(G$5:$G$5,"&gt;"&amp;CalcPointPB,G$12:$G$12))</f>
        <v>0</v>
      </c>
      <c r="H1065" s="1370">
        <f>IF(H$5&lt;=CalcPointPB,SUMIF(H$5:$Q$5,"&lt;="&amp;CalcPointPB,H$12:$Q$12)-SUM(H$12),SUMIF($G$5:H$5,"&gt;"&amp;CalcPointPB,$G$12:H$12))</f>
        <v>1</v>
      </c>
      <c r="I1065" s="1370">
        <f>IF(I$5&lt;=CalcPointPB,SUMIF(I$5:$Q$5,"&lt;="&amp;CalcPointPB,I$12:$Q$12)-SUM(I$12),SUMIF($G$5:I$5,"&gt;"&amp;CalcPointPB,$G$12:I$12))</f>
        <v>2</v>
      </c>
      <c r="J1065" s="1370">
        <f>IF(J$5&lt;=CalcPointPB,SUMIF(J$5:$Q$5,"&lt;="&amp;CalcPointPB,J$12:$Q$12)-SUM(J$12),SUMIF($G$5:J$5,"&gt;"&amp;CalcPointPB,$G$12:J$12))</f>
        <v>3</v>
      </c>
      <c r="K1065" s="1370">
        <f>IF(K$5&lt;=CalcPointPB,SUMIF(K$5:$Q$5,"&lt;="&amp;CalcPointPB,K$12:$Q$12)-SUM(K$12),SUMIF($G$5:K$5,"&gt;"&amp;CalcPointPB,$G$12:K$12))</f>
        <v>4</v>
      </c>
      <c r="L1065" s="1370">
        <f>IF(L$5&lt;=CalcPointPB,SUMIF(L$5:$Q$5,"&lt;="&amp;CalcPointPB,L$12:$Q$12)-SUM(L$12),SUMIF($G$5:L$5,"&gt;"&amp;CalcPointPB,$G$12:L$12))</f>
        <v>16</v>
      </c>
      <c r="M1065" s="1370">
        <f>IF(M$5&lt;=CalcPointPB,SUMIF(M$5:$Q$5,"&lt;="&amp;CalcPointPB,M$12:$Q$12)-SUM(M$12),SUMIF($G$5:M$5,"&gt;"&amp;CalcPointPB,$G$12:M$12))</f>
        <v>28</v>
      </c>
      <c r="N1065" s="1370">
        <f>IF(N$5&lt;=CalcPointPB,SUMIF(N$5:$Q$5,"&lt;="&amp;CalcPointPB,N$12:$Q$12)-SUM(N$12),SUMIF($G$5:N$5,"&gt;"&amp;CalcPointPB,$G$12:N$12))</f>
        <v>40</v>
      </c>
      <c r="O1065" s="1370">
        <f>IF(O$5&lt;=CalcPointPB,SUMIF(O$5:$Q$5,"&lt;="&amp;CalcPointPB,O$12:$Q$12)-SUM(O$12),SUMIF($G$5:O$5,"&gt;"&amp;CalcPointPB,$G$12:O$12))</f>
        <v>52</v>
      </c>
      <c r="P1065" s="1370">
        <f>IF(P$5&lt;=CalcPointPB,SUMIF(P$5:$Q$5,"&lt;="&amp;CalcPointPB,P$12:$Q$12)-SUM(P$12),SUMIF($G$5:P$5,"&gt;"&amp;CalcPointPB,$G$12:P$12))</f>
        <v>64</v>
      </c>
      <c r="Q1065" s="1370">
        <f ca="1">OFFSET(Q1065,0,-1)</f>
        <v>64</v>
      </c>
      <c r="R1065" s="1360"/>
      <c r="S1065" s="1358" t="s">
        <v>40</v>
      </c>
      <c r="T1065" s="1361"/>
    </row>
    <row r="1066" spans="1:20" ht="11.25" hidden="1" customHeight="1" x14ac:dyDescent="0.35">
      <c r="A1066" s="319"/>
      <c r="B1066" s="1358"/>
      <c r="C1066" s="1358" t="s">
        <v>5604</v>
      </c>
      <c r="D1066" s="1358"/>
      <c r="E1066" s="1358" t="s">
        <v>5602</v>
      </c>
      <c r="F1066" s="1369"/>
      <c r="G1066" s="1370">
        <f>G$1064</f>
        <v>0</v>
      </c>
      <c r="H1066" s="1370">
        <f t="shared" ref="H1066:P1066" si="767">H$1064+IF(H$17=12,IF(H$5&lt;=CalcPoint,H$17*0.5,-H$17*0.5),0)</f>
        <v>1</v>
      </c>
      <c r="I1066" s="1370">
        <f t="shared" si="767"/>
        <v>2</v>
      </c>
      <c r="J1066" s="1370">
        <f t="shared" si="767"/>
        <v>3</v>
      </c>
      <c r="K1066" s="1370">
        <f t="shared" si="767"/>
        <v>4</v>
      </c>
      <c r="L1066" s="1370">
        <f t="shared" si="767"/>
        <v>10</v>
      </c>
      <c r="M1066" s="1370">
        <f t="shared" si="767"/>
        <v>22</v>
      </c>
      <c r="N1066" s="1370">
        <f t="shared" si="767"/>
        <v>34</v>
      </c>
      <c r="O1066" s="1370">
        <f t="shared" si="767"/>
        <v>46</v>
      </c>
      <c r="P1066" s="1370">
        <f t="shared" si="767"/>
        <v>58</v>
      </c>
      <c r="Q1066" s="1370">
        <f ca="1">Q$1064</f>
        <v>64</v>
      </c>
      <c r="R1066" s="1360"/>
      <c r="S1066" s="1358" t="s">
        <v>40</v>
      </c>
      <c r="T1066" s="1361"/>
    </row>
    <row r="1067" spans="1:20" ht="11.25" hidden="1" customHeight="1" x14ac:dyDescent="0.35">
      <c r="A1067" s="319"/>
      <c r="B1067" s="1358"/>
      <c r="C1067" s="1358" t="s">
        <v>5605</v>
      </c>
      <c r="D1067" s="1358"/>
      <c r="E1067" s="1358" t="s">
        <v>5601</v>
      </c>
      <c r="F1067" s="1369"/>
      <c r="G1067" s="1370">
        <f>G$1065</f>
        <v>0</v>
      </c>
      <c r="H1067" s="1370">
        <f t="shared" ref="H1067:P1067" si="768">H$1065+IF(H$17=12,IF(H$5&lt;=CalcPointPB,H$17*0.5,-H$17*0.5),0)</f>
        <v>1</v>
      </c>
      <c r="I1067" s="1370">
        <f t="shared" si="768"/>
        <v>2</v>
      </c>
      <c r="J1067" s="1370">
        <f t="shared" si="768"/>
        <v>3</v>
      </c>
      <c r="K1067" s="1370">
        <f t="shared" si="768"/>
        <v>4</v>
      </c>
      <c r="L1067" s="1370">
        <f t="shared" si="768"/>
        <v>10</v>
      </c>
      <c r="M1067" s="1370">
        <f t="shared" si="768"/>
        <v>22</v>
      </c>
      <c r="N1067" s="1370">
        <f t="shared" si="768"/>
        <v>34</v>
      </c>
      <c r="O1067" s="1370">
        <f t="shared" si="768"/>
        <v>46</v>
      </c>
      <c r="P1067" s="1370">
        <f t="shared" si="768"/>
        <v>58</v>
      </c>
      <c r="Q1067" s="1370">
        <f ca="1">Q$1065</f>
        <v>64</v>
      </c>
      <c r="R1067" s="1360"/>
      <c r="S1067" s="1358" t="s">
        <v>40</v>
      </c>
      <c r="T1067" s="1361"/>
    </row>
    <row r="1068" spans="1:20" ht="11.25" hidden="1" customHeight="1" x14ac:dyDescent="0.35">
      <c r="A1068" s="319"/>
      <c r="B1068" s="1358"/>
      <c r="C1068" s="1358" t="s">
        <v>5606</v>
      </c>
      <c r="D1068" s="1358"/>
      <c r="E1068" s="1358" t="s">
        <v>5603</v>
      </c>
      <c r="F1068" s="1369"/>
      <c r="G1068" s="1370">
        <v>0</v>
      </c>
      <c r="H1068" s="1371">
        <f>SUM($G$17:H$17)-IF(H$17=12,6,0)</f>
        <v>1</v>
      </c>
      <c r="I1068" s="1371">
        <f>SUM($G$17:I$17)-IF(I$17=12,6,0)</f>
        <v>2</v>
      </c>
      <c r="J1068" s="1371">
        <f>SUM($G$17:J$17)-IF(J$17=12,6,0)</f>
        <v>3</v>
      </c>
      <c r="K1068" s="1371">
        <f>SUM($G$17:K$17)-IF(K$17=12,6,0)</f>
        <v>4</v>
      </c>
      <c r="L1068" s="1371">
        <f>SUM($G$17:L$17)-IF(L$17=12,6,0)</f>
        <v>10</v>
      </c>
      <c r="M1068" s="1371">
        <f>SUM($G$17:M$17)-IF(M$17=12,6,0)</f>
        <v>22</v>
      </c>
      <c r="N1068" s="1371">
        <f>SUM($G$17:N$17)-IF(N$17=12,6,0)</f>
        <v>34</v>
      </c>
      <c r="O1068" s="1371">
        <f>SUM($G$17:O$17)-IF(O$17=12,6,0)</f>
        <v>46</v>
      </c>
      <c r="P1068" s="1371">
        <f>SUM($G$17:P$17)-IF(P$17=12,6,0)</f>
        <v>58</v>
      </c>
      <c r="Q1068" s="1370">
        <f ca="1">Q1075</f>
        <v>64</v>
      </c>
      <c r="R1068" s="1360"/>
      <c r="S1068" s="1358" t="s">
        <v>40</v>
      </c>
      <c r="T1068" s="1361"/>
    </row>
    <row r="1069" spans="1:20" ht="11.25" hidden="1" customHeight="1" x14ac:dyDescent="0.35">
      <c r="A1069" s="319"/>
      <c r="B1069" s="1358"/>
      <c r="C1069" s="1358" t="s">
        <v>1524</v>
      </c>
      <c r="D1069" s="1358"/>
      <c r="E1069" s="1358" t="s">
        <v>1525</v>
      </c>
      <c r="F1069" s="1362"/>
      <c r="G1069" s="1369">
        <f>G$680</f>
        <v>0</v>
      </c>
      <c r="H1069" s="1369">
        <f t="shared" ref="H1069:Q1069" ca="1" si="769">H$680/(1+IF(VariableRate=1,H$1062,DiscMonth))^IF(MYDisc,H$1066,H$1064)</f>
        <v>-2532168.9934675633</v>
      </c>
      <c r="I1069" s="1369">
        <f t="shared" ca="1" si="769"/>
        <v>-758105.3531664965</v>
      </c>
      <c r="J1069" s="1369">
        <f t="shared" ca="1" si="769"/>
        <v>-279935.43667700572</v>
      </c>
      <c r="K1069" s="1369">
        <f t="shared" ca="1" si="769"/>
        <v>-354040.09364639537</v>
      </c>
      <c r="L1069" s="1369">
        <f t="shared" ca="1" si="769"/>
        <v>1259510.369445808</v>
      </c>
      <c r="M1069" s="1369">
        <f t="shared" ca="1" si="769"/>
        <v>1628050.3985298178</v>
      </c>
      <c r="N1069" s="1369">
        <f t="shared" ca="1" si="769"/>
        <v>2370320.3500720463</v>
      </c>
      <c r="O1069" s="1369">
        <f t="shared" ca="1" si="769"/>
        <v>3113740.3210585946</v>
      </c>
      <c r="P1069" s="1369">
        <f t="shared" ca="1" si="769"/>
        <v>4079444.771294232</v>
      </c>
      <c r="Q1069" s="1369">
        <f t="shared" ca="1" si="769"/>
        <v>3821869.9219564977</v>
      </c>
      <c r="R1069" s="1360"/>
      <c r="S1069" s="1358" t="s">
        <v>40</v>
      </c>
      <c r="T1069" s="1361"/>
    </row>
    <row r="1070" spans="1:20" ht="11.25" hidden="1" customHeight="1" x14ac:dyDescent="0.35">
      <c r="A1070" s="319"/>
      <c r="B1070" s="1358"/>
      <c r="C1070" s="1358" t="s">
        <v>1526</v>
      </c>
      <c r="D1070" s="1358"/>
      <c r="E1070" s="1358" t="s">
        <v>1527</v>
      </c>
      <c r="F1070" s="1362"/>
      <c r="G1070" s="1369">
        <f ca="1">G$680*IF(IF(G$5=-99,OFFSET(G$5,0,-1),G$5)&lt;CalcPoint,IF(DontCompound=1,1,(1+IF(VariableRate=1,G$1062,DiscMonth))^G$1064),1/((1+IF(VariableRate=1,G$1062,DiscMonth))^G$1064))</f>
        <v>0</v>
      </c>
      <c r="H1070" s="1369">
        <f t="shared" ref="H1070:Q1070" ca="1" si="770">H$680*IF(IF(H$5=-99,OFFSET(H$5,0,-1),H$5)&lt;=CalcPoint,IF(DontCompound=1,1,(1+IF(VariableRate=1,H$1062,DiscMonth))^IF(MYDisc,H$1066,H$1064)),1/((1+IF(VariableRate=1,H$1062,DiscMonth))^IF(MYDisc,H$1066,H$1064)))</f>
        <v>-2532168.9934675633</v>
      </c>
      <c r="I1070" s="1369">
        <f t="shared" ca="1" si="770"/>
        <v>-758105.3531664965</v>
      </c>
      <c r="J1070" s="1369">
        <f t="shared" ca="1" si="770"/>
        <v>-279935.43667700572</v>
      </c>
      <c r="K1070" s="1369">
        <f t="shared" ca="1" si="770"/>
        <v>-354040.09364639537</v>
      </c>
      <c r="L1070" s="1369">
        <f t="shared" ca="1" si="770"/>
        <v>1259510.369445808</v>
      </c>
      <c r="M1070" s="1369">
        <f t="shared" ca="1" si="770"/>
        <v>1628050.3985298178</v>
      </c>
      <c r="N1070" s="1369">
        <f t="shared" ca="1" si="770"/>
        <v>2370320.3500720463</v>
      </c>
      <c r="O1070" s="1369">
        <f t="shared" ca="1" si="770"/>
        <v>3113740.3210585946</v>
      </c>
      <c r="P1070" s="1369">
        <f t="shared" ca="1" si="770"/>
        <v>4079444.7712942325</v>
      </c>
      <c r="Q1070" s="1369">
        <f t="shared" ca="1" si="770"/>
        <v>3821869.9219564982</v>
      </c>
      <c r="R1070" s="1360"/>
      <c r="S1070" s="1358" t="s">
        <v>40</v>
      </c>
      <c r="T1070" s="1361"/>
    </row>
    <row r="1071" spans="1:20" ht="11.25" hidden="1" customHeight="1" x14ac:dyDescent="0.35">
      <c r="A1071" s="319"/>
      <c r="B1071" s="1358"/>
      <c r="C1071" s="1358" t="s">
        <v>1528</v>
      </c>
      <c r="D1071" s="1358"/>
      <c r="E1071" s="1358" t="s">
        <v>1529</v>
      </c>
      <c r="F1071" s="1362"/>
      <c r="G1071" s="1369">
        <f ca="1">G$680*IF(IF(G$5=-99,OFFSET(G$5,0,-1),G$5)&lt;CalcPointPB,IF(DontCompoundPB=1,1,(1+IF(VariableRate=1,G$1062,DiscMonth))^G$1065),1/((1+IF(VariableRate=1,G$1062,DiscMonth))^G$1065))</f>
        <v>0</v>
      </c>
      <c r="H1071" s="1369">
        <f t="shared" ref="H1071:P1071" ca="1" si="771">H$680*IF(IF(H$5=-99,OFFSET(H$5,0,-1),H$5)&lt;=CalcPointPB,IF(DontCompoundPB=1,1,(1+IF(VariableRate=1,H$1062,DiscMonth))^IF(MYDisc,H$1067,H$1065)),1/((1+IF(VariableRate=1,H$1062,DiscMonth))^IF(MYDisc,H$1067,H$1065)))</f>
        <v>-2532168.9934675633</v>
      </c>
      <c r="I1071" s="1369">
        <f t="shared" ca="1" si="771"/>
        <v>-758105.3531664965</v>
      </c>
      <c r="J1071" s="1369">
        <f t="shared" ca="1" si="771"/>
        <v>-279935.43667700572</v>
      </c>
      <c r="K1071" s="1369">
        <f t="shared" ca="1" si="771"/>
        <v>-354040.09364639537</v>
      </c>
      <c r="L1071" s="1369">
        <f t="shared" ca="1" si="771"/>
        <v>1259510.369445808</v>
      </c>
      <c r="M1071" s="1369">
        <f t="shared" ca="1" si="771"/>
        <v>1628050.3985298178</v>
      </c>
      <c r="N1071" s="1369">
        <f t="shared" ca="1" si="771"/>
        <v>2370320.3500720463</v>
      </c>
      <c r="O1071" s="1369">
        <f t="shared" ca="1" si="771"/>
        <v>3113740.3210585946</v>
      </c>
      <c r="P1071" s="1369">
        <f t="shared" ca="1" si="771"/>
        <v>4079444.7712942325</v>
      </c>
      <c r="Q1071" s="1369">
        <f ca="1">IF(UsePerpetuity=1,PerpetuityPV,Q$680*IF(IF(Q$5=-99,OFFSET(Q$5,0,-1),Q$5)&lt;=CalcPointPB,IF(DontCompoundPB=1,1,(1+IF(VariableRate=1,Q$1062,DiscMonth))^IF(MYDisc,Q$1067,Q$1065)),1/((1+IF(VariableRate=1,Q$1062,DiscMonth))^IF(MYDisc,Q$1067,Q$1065))))</f>
        <v>3821869.9219564982</v>
      </c>
      <c r="R1071" s="1360"/>
      <c r="S1071" s="1358" t="s">
        <v>40</v>
      </c>
      <c r="T1071" s="1361"/>
    </row>
    <row r="1072" spans="1:20" ht="11.25" hidden="1" customHeight="1" x14ac:dyDescent="0.35">
      <c r="A1072" s="319"/>
      <c r="B1072" s="1358"/>
      <c r="C1072" s="1358" t="s">
        <v>1530</v>
      </c>
      <c r="D1072" s="1358"/>
      <c r="E1072" s="1358" t="s">
        <v>1531</v>
      </c>
      <c r="F1072" s="1362"/>
      <c r="G1072" s="1369">
        <f>G1069</f>
        <v>0</v>
      </c>
      <c r="H1072" s="1369">
        <f t="shared" ref="H1072:Q1074" ca="1" si="772">OFFSET(H1072,0,-1)+H1069</f>
        <v>-2532168.9934675633</v>
      </c>
      <c r="I1072" s="1369">
        <f t="shared" ca="1" si="772"/>
        <v>-3290274.3466340597</v>
      </c>
      <c r="J1072" s="1369">
        <f t="shared" ca="1" si="772"/>
        <v>-3570209.7833110653</v>
      </c>
      <c r="K1072" s="1369">
        <f t="shared" ca="1" si="772"/>
        <v>-3924249.8769574608</v>
      </c>
      <c r="L1072" s="1369">
        <f t="shared" ca="1" si="772"/>
        <v>-2664739.507511653</v>
      </c>
      <c r="M1072" s="1369">
        <f t="shared" ref="M1072:N1072" ca="1" si="773">OFFSET(M1072,0,-1)+M1069</f>
        <v>-1036689.1089818352</v>
      </c>
      <c r="N1072" s="1369">
        <f t="shared" ca="1" si="773"/>
        <v>1333631.2410902111</v>
      </c>
      <c r="O1072" s="1369">
        <f t="shared" ref="O1072:P1072" ca="1" si="774">OFFSET(O1072,0,-1)+O1069</f>
        <v>4447371.5621488057</v>
      </c>
      <c r="P1072" s="1369">
        <f t="shared" ca="1" si="774"/>
        <v>8526816.3334430382</v>
      </c>
      <c r="Q1072" s="1369">
        <f t="shared" ca="1" si="772"/>
        <v>12348686.255399536</v>
      </c>
      <c r="R1072" s="1360"/>
      <c r="S1072" s="1358" t="s">
        <v>40</v>
      </c>
      <c r="T1072" s="1361"/>
    </row>
    <row r="1073" spans="1:20" ht="11.25" hidden="1" customHeight="1" x14ac:dyDescent="0.35">
      <c r="A1073" s="319"/>
      <c r="B1073" s="1358"/>
      <c r="C1073" s="1358" t="s">
        <v>1532</v>
      </c>
      <c r="D1073" s="1358"/>
      <c r="E1073" s="1358" t="s">
        <v>1533</v>
      </c>
      <c r="F1073" s="1362"/>
      <c r="G1073" s="1369">
        <f ca="1">G1070</f>
        <v>0</v>
      </c>
      <c r="H1073" s="1369">
        <f t="shared" ca="1" si="772"/>
        <v>-2532168.9934675633</v>
      </c>
      <c r="I1073" s="1369">
        <f t="shared" ca="1" si="772"/>
        <v>-3290274.3466340597</v>
      </c>
      <c r="J1073" s="1369">
        <f t="shared" ca="1" si="772"/>
        <v>-3570209.7833110653</v>
      </c>
      <c r="K1073" s="1369">
        <f t="shared" ca="1" si="772"/>
        <v>-3924249.8769574608</v>
      </c>
      <c r="L1073" s="1369">
        <f t="shared" ca="1" si="772"/>
        <v>-2664739.507511653</v>
      </c>
      <c r="M1073" s="1369">
        <f t="shared" ref="M1073:N1073" ca="1" si="775">OFFSET(M1073,0,-1)+M1070</f>
        <v>-1036689.1089818352</v>
      </c>
      <c r="N1073" s="1369">
        <f t="shared" ca="1" si="775"/>
        <v>1333631.2410902111</v>
      </c>
      <c r="O1073" s="1369">
        <f t="shared" ref="O1073:P1073" ca="1" si="776">OFFSET(O1073,0,-1)+O1070</f>
        <v>4447371.5621488057</v>
      </c>
      <c r="P1073" s="1369">
        <f t="shared" ca="1" si="776"/>
        <v>8526816.3334430382</v>
      </c>
      <c r="Q1073" s="1369">
        <f t="shared" ca="1" si="772"/>
        <v>12348686.255399536</v>
      </c>
      <c r="R1073" s="1360"/>
      <c r="S1073" s="1358" t="s">
        <v>40</v>
      </c>
      <c r="T1073" s="1361"/>
    </row>
    <row r="1074" spans="1:20" ht="11.25" hidden="1" customHeight="1" x14ac:dyDescent="0.35">
      <c r="A1074" s="319"/>
      <c r="B1074" s="1358"/>
      <c r="C1074" s="1358" t="s">
        <v>1489</v>
      </c>
      <c r="D1074" s="1358"/>
      <c r="E1074" s="1358" t="s">
        <v>1534</v>
      </c>
      <c r="F1074" s="1362"/>
      <c r="G1074" s="1369">
        <f ca="1">G1071</f>
        <v>0</v>
      </c>
      <c r="H1074" s="1369">
        <f t="shared" ca="1" si="772"/>
        <v>-2532168.9934675633</v>
      </c>
      <c r="I1074" s="1369">
        <f t="shared" ca="1" si="772"/>
        <v>-3290274.3466340597</v>
      </c>
      <c r="J1074" s="1369">
        <f t="shared" ca="1" si="772"/>
        <v>-3570209.7833110653</v>
      </c>
      <c r="K1074" s="1369">
        <f t="shared" ca="1" si="772"/>
        <v>-3924249.8769574608</v>
      </c>
      <c r="L1074" s="1369">
        <f t="shared" ca="1" si="772"/>
        <v>-2664739.507511653</v>
      </c>
      <c r="M1074" s="1369">
        <f t="shared" ref="M1074:N1074" ca="1" si="777">OFFSET(M1074,0,-1)+M1071</f>
        <v>-1036689.1089818352</v>
      </c>
      <c r="N1074" s="1369">
        <f t="shared" ca="1" si="777"/>
        <v>1333631.2410902111</v>
      </c>
      <c r="O1074" s="1369">
        <f t="shared" ref="O1074:P1074" ca="1" si="778">OFFSET(O1074,0,-1)+O1071</f>
        <v>4447371.5621488057</v>
      </c>
      <c r="P1074" s="1369">
        <f t="shared" ca="1" si="778"/>
        <v>8526816.3334430382</v>
      </c>
      <c r="Q1074" s="1369">
        <f t="shared" ca="1" si="772"/>
        <v>12348686.255399536</v>
      </c>
      <c r="R1074" s="1360"/>
      <c r="S1074" s="1358" t="s">
        <v>40</v>
      </c>
      <c r="T1074" s="1361"/>
    </row>
    <row r="1075" spans="1:20" ht="11.25" hidden="1" customHeight="1" x14ac:dyDescent="0.35">
      <c r="A1075" s="319"/>
      <c r="B1075" s="1358"/>
      <c r="C1075" s="1358" t="s">
        <v>1535</v>
      </c>
      <c r="D1075" s="1358"/>
      <c r="E1075" s="1358" t="s">
        <v>1536</v>
      </c>
      <c r="F1075" s="1362"/>
      <c r="G1075" s="1369"/>
      <c r="H1075" s="1369">
        <f t="shared" ref="H1075:P1075" ca="1" si="779">SUM(H$17)+OFFSET(H1075,0,-1)</f>
        <v>1</v>
      </c>
      <c r="I1075" s="1369">
        <f t="shared" ca="1" si="779"/>
        <v>2</v>
      </c>
      <c r="J1075" s="1369">
        <f t="shared" ca="1" si="779"/>
        <v>3</v>
      </c>
      <c r="K1075" s="1369">
        <f t="shared" ca="1" si="779"/>
        <v>4</v>
      </c>
      <c r="L1075" s="1369">
        <f t="shared" ca="1" si="779"/>
        <v>16</v>
      </c>
      <c r="M1075" s="1369">
        <f t="shared" ca="1" si="779"/>
        <v>28</v>
      </c>
      <c r="N1075" s="1369">
        <f t="shared" ca="1" si="779"/>
        <v>40</v>
      </c>
      <c r="O1075" s="1369">
        <f t="shared" ca="1" si="779"/>
        <v>52</v>
      </c>
      <c r="P1075" s="1369">
        <f t="shared" ca="1" si="779"/>
        <v>64</v>
      </c>
      <c r="Q1075" s="1369">
        <f ca="1">OFFSET(Q1075,0,-1)</f>
        <v>64</v>
      </c>
      <c r="R1075" s="1360"/>
      <c r="S1075" s="1358" t="s">
        <v>40</v>
      </c>
      <c r="T1075" s="1361"/>
    </row>
    <row r="1076" spans="1:20" ht="11.25" hidden="1" customHeight="1" x14ac:dyDescent="0.35">
      <c r="A1076" s="319"/>
      <c r="B1076" s="1358"/>
      <c r="C1076" s="1358" t="s">
        <v>1537</v>
      </c>
      <c r="D1076" s="1358"/>
      <c r="E1076" s="1358" t="s">
        <v>1538</v>
      </c>
      <c r="F1076" s="1362"/>
      <c r="G1076" s="1369">
        <f ca="1">IF(InvOrAcq=2,IF(LoanEnterOrProFin&lt;2,-SUMPRODUCT(((OFFSET(G$1075,0,1):$Q$1075)&lt;=(12+G$1075))*(OFFSET(G$431,0,1):$Q$431)),G$1078),0)</f>
        <v>0</v>
      </c>
      <c r="H1076" s="1369">
        <f ca="1">IF(InvOrAcq=2,IF(LoanEnterOrProFin&lt;2,-SUMPRODUCT(((OFFSET(H$1075,0,1):$Q$1075)&lt;=(12+H$1075))*(OFFSET(H$431,0,1):$Q$431)),H$1078),0)</f>
        <v>0</v>
      </c>
      <c r="I1076" s="1369">
        <f ca="1">IF(InvOrAcq=2,IF(LoanEnterOrProFin&lt;2,-SUMPRODUCT(((OFFSET(I$1075,0,1):$Q$1075)&lt;=(12+I$1075))*(OFFSET(I$431,0,1):$Q$431)),I$1078),0)</f>
        <v>0</v>
      </c>
      <c r="J1076" s="1369">
        <f ca="1">IF(InvOrAcq=2,IF(LoanEnterOrProFin&lt;2,-SUMPRODUCT(((OFFSET(J$1075,0,1):$Q$1075)&lt;=(12+J$1075))*(OFFSET(J$431,0,1):$Q$431)),J$1078),0)</f>
        <v>0</v>
      </c>
      <c r="K1076" s="1369">
        <f ca="1">IF(InvOrAcq=2,IF(LoanEnterOrProFin&lt;2,-SUMPRODUCT(((OFFSET(K$1075,0,1):$Q$1075)&lt;=(12+K$1075))*(OFFSET(K$431,0,1):$Q$431)),K$1078),0)</f>
        <v>0</v>
      </c>
      <c r="L1076" s="1369">
        <f ca="1">IF(InvOrAcq=2,IF(LoanEnterOrProFin&lt;2,-SUMPRODUCT(((OFFSET(L$1075,0,1):$Q$1075)&lt;=(12+L$1075))*(OFFSET(L$431,0,1):$Q$431)),L$1078),0)</f>
        <v>0</v>
      </c>
      <c r="M1076" s="1369">
        <f ca="1">IF(InvOrAcq=2,IF(LoanEnterOrProFin&lt;2,-SUMPRODUCT(((OFFSET(M$1075,0,1):$Q$1075)&lt;=(12+M$1075))*(OFFSET(M$431,0,1):$Q$431)),M$1078),0)</f>
        <v>0</v>
      </c>
      <c r="N1076" s="1369">
        <f ca="1">IF(InvOrAcq=2,IF(LoanEnterOrProFin&lt;2,-SUMPRODUCT(((OFFSET(N$1075,0,1):$Q$1075)&lt;=(12+N$1075))*(OFFSET(N$431,0,1):$Q$431)),N$1078),0)</f>
        <v>0</v>
      </c>
      <c r="O1076" s="1369">
        <f ca="1">IF(InvOrAcq=2,IF(LoanEnterOrProFin&lt;2,-SUMPRODUCT(((OFFSET(O$1075,0,1):$Q$1075)&lt;=(12+O$1075))*(OFFSET(O$431,0,1):$Q$431)),O$1078),0)</f>
        <v>0</v>
      </c>
      <c r="P1076" s="1369">
        <f ca="1">IF(InvOrAcq=2,IF(LoanEnterOrProFin&lt;2,-SUMPRODUCT(((OFFSET(P$1075,0,1):$Q$1075)&lt;=(12+P$1075))*(OFFSET(P$431,0,1):$Q$431)),P$1078),0)</f>
        <v>0</v>
      </c>
      <c r="Q1076" s="1369">
        <f ca="1">IF(InvOrAcq=2,IF(LoanEnterOrProFin&lt;2,-SUMPRODUCT(((OFFSET(Q$1075,0,1):$Q$1075)&lt;=(12+Q$1075))*(OFFSET(Q$431,0,1):$Q$431)),Q$1078),0)</f>
        <v>0</v>
      </c>
      <c r="R1076" s="1360"/>
      <c r="S1076" s="1358" t="s">
        <v>40</v>
      </c>
      <c r="T1076" s="1361"/>
    </row>
    <row r="1077" spans="1:20" ht="11.25" hidden="1" customHeight="1" x14ac:dyDescent="0.35">
      <c r="A1077" s="319"/>
      <c r="B1077" s="1358"/>
      <c r="C1077" s="1358" t="s">
        <v>1539</v>
      </c>
      <c r="D1077" s="1358"/>
      <c r="E1077" s="1358" t="s">
        <v>1540</v>
      </c>
      <c r="F1077" s="1362"/>
      <c r="G1077" s="1369">
        <v>0</v>
      </c>
      <c r="H1077" s="1369">
        <v>0</v>
      </c>
      <c r="I1077" s="1369">
        <v>0</v>
      </c>
      <c r="J1077" s="1369">
        <v>0</v>
      </c>
      <c r="K1077" s="1369">
        <v>0</v>
      </c>
      <c r="L1077" s="1369">
        <v>0</v>
      </c>
      <c r="M1077" s="1369">
        <v>0</v>
      </c>
      <c r="N1077" s="1369">
        <v>0</v>
      </c>
      <c r="O1077" s="1369">
        <v>0</v>
      </c>
      <c r="P1077" s="1369">
        <v>0</v>
      </c>
      <c r="Q1077" s="1369">
        <v>0</v>
      </c>
      <c r="R1077" s="1360"/>
      <c r="S1077" s="1358" t="s">
        <v>40</v>
      </c>
      <c r="T1077" s="1361"/>
    </row>
    <row r="1078" spans="1:20" ht="11.25" hidden="1" customHeight="1" x14ac:dyDescent="0.35">
      <c r="A1078" s="319"/>
      <c r="B1078" s="1358"/>
      <c r="C1078" s="1358" t="s">
        <v>1541</v>
      </c>
      <c r="D1078" s="1358"/>
      <c r="E1078" s="1358" t="s">
        <v>1542</v>
      </c>
      <c r="F1078" s="1362"/>
      <c r="G1078" s="1369">
        <v>0</v>
      </c>
      <c r="H1078" s="1369">
        <v>0</v>
      </c>
      <c r="I1078" s="1369">
        <v>0</v>
      </c>
      <c r="J1078" s="1369">
        <v>0</v>
      </c>
      <c r="K1078" s="1369">
        <v>0</v>
      </c>
      <c r="L1078" s="1369">
        <v>0</v>
      </c>
      <c r="M1078" s="1369">
        <v>0</v>
      </c>
      <c r="N1078" s="1369">
        <v>0</v>
      </c>
      <c r="O1078" s="1369">
        <v>0</v>
      </c>
      <c r="P1078" s="1369">
        <v>0</v>
      </c>
      <c r="Q1078" s="1369">
        <v>0</v>
      </c>
      <c r="R1078" s="1360"/>
      <c r="S1078" s="1358" t="s">
        <v>40</v>
      </c>
      <c r="T1078" s="1361"/>
    </row>
    <row r="1079" spans="1:20" ht="11.25" hidden="1" customHeight="1" x14ac:dyDescent="0.35">
      <c r="A1079" s="319"/>
      <c r="B1079" s="1358"/>
      <c r="C1079" s="1358" t="s">
        <v>1543</v>
      </c>
      <c r="D1079" s="1358"/>
      <c r="E1079" s="1358" t="s">
        <v>1544</v>
      </c>
      <c r="F1079" s="1362"/>
      <c r="G1079" s="1369"/>
      <c r="H1079" s="1369"/>
      <c r="I1079" s="1369"/>
      <c r="J1079" s="1369"/>
      <c r="K1079" s="1369"/>
      <c r="L1079" s="1369"/>
      <c r="M1079" s="1369"/>
      <c r="N1079" s="1369"/>
      <c r="O1079" s="1369"/>
      <c r="P1079" s="1369"/>
      <c r="Q1079" s="1369"/>
      <c r="R1079" s="1360"/>
      <c r="S1079" s="1358" t="s">
        <v>40</v>
      </c>
      <c r="T1079" s="1361"/>
    </row>
    <row r="1080" spans="1:20" ht="11.25" hidden="1" customHeight="1" x14ac:dyDescent="0.35">
      <c r="A1080" s="319"/>
      <c r="B1080" s="1358"/>
      <c r="C1080" s="1358" t="s">
        <v>1227</v>
      </c>
      <c r="D1080" s="1358"/>
      <c r="E1080" s="1358" t="s">
        <v>1545</v>
      </c>
      <c r="F1080" s="1362"/>
      <c r="G1080" s="1369">
        <f ca="1">OFFSET(G811,0,-1)+G$690-IF(AND(InvFileType=2,InvOrAcq=1),0,G$693)+OFFSET(G$819,0,-1)</f>
        <v>0</v>
      </c>
      <c r="H1080" s="1369">
        <f t="shared" ref="H1080:Q1080" ca="1" si="780">OFFSET(H811,0,-1)+H$690-IF(AND(InvFileType=2,InvOrAcq=1),0,H$693)+OFFSET(H$819,0,-1)</f>
        <v>0</v>
      </c>
      <c r="I1080" s="1369">
        <f t="shared" ca="1" si="780"/>
        <v>0</v>
      </c>
      <c r="J1080" s="1369">
        <f t="shared" ca="1" si="780"/>
        <v>0</v>
      </c>
      <c r="K1080" s="1369">
        <f t="shared" ca="1" si="780"/>
        <v>0</v>
      </c>
      <c r="L1080" s="1369">
        <f t="shared" ca="1" si="780"/>
        <v>0</v>
      </c>
      <c r="M1080" s="1369">
        <f t="shared" ref="M1080:N1080" ca="1" si="781">OFFSET(M811,0,-1)+M$690-IF(AND(InvFileType=2,InvOrAcq=1),0,M$693)+OFFSET(M$819,0,-1)</f>
        <v>0</v>
      </c>
      <c r="N1080" s="1369">
        <f t="shared" ca="1" si="781"/>
        <v>0</v>
      </c>
      <c r="O1080" s="1369">
        <f t="shared" ref="O1080:P1080" ca="1" si="782">OFFSET(O811,0,-1)+O$690-IF(AND(InvFileType=2,InvOrAcq=1),0,O$693)+OFFSET(O$819,0,-1)</f>
        <v>0</v>
      </c>
      <c r="P1080" s="1369">
        <f t="shared" ca="1" si="782"/>
        <v>0</v>
      </c>
      <c r="Q1080" s="1369">
        <f t="shared" ca="1" si="780"/>
        <v>0</v>
      </c>
      <c r="R1080" s="1360"/>
      <c r="S1080" s="1358" t="s">
        <v>40</v>
      </c>
      <c r="T1080" s="1361"/>
    </row>
    <row r="1081" spans="1:20" ht="11.25" hidden="1" customHeight="1" x14ac:dyDescent="0.35">
      <c r="A1081" s="319"/>
      <c r="B1081" s="1358"/>
      <c r="C1081" s="1358" t="s">
        <v>1546</v>
      </c>
      <c r="D1081" s="1358"/>
      <c r="E1081" s="1358" t="s">
        <v>1547</v>
      </c>
      <c r="F1081" s="1362"/>
      <c r="G1081" s="1369">
        <f ca="1">(G$673+G$674+G$679+G$319+G$321+G$330+G$332)/(1+IF(VariableRate=1,G$1062,DiscMonth))^G$1064</f>
        <v>0</v>
      </c>
      <c r="H1081" s="1369">
        <f t="shared" ref="H1081:P1081" ca="1" si="783">(H$673+H$674+H$679+H$319+H$321+H$330+H$332)/(1+IF(VariableRate=1,H$1062,DiscMonth))^IF(MYDisc,H$1066,H$1064)</f>
        <v>-1035556.2466290966</v>
      </c>
      <c r="I1081" s="1369">
        <f t="shared" ca="1" si="783"/>
        <v>-260360.97227774517</v>
      </c>
      <c r="J1081" s="1369">
        <f t="shared" ca="1" si="783"/>
        <v>67698.836372146499</v>
      </c>
      <c r="K1081" s="1369">
        <f t="shared" ca="1" si="783"/>
        <v>-7190.8374575385033</v>
      </c>
      <c r="L1081" s="1369">
        <f t="shared" ca="1" si="783"/>
        <v>1259510.369445808</v>
      </c>
      <c r="M1081" s="1369">
        <f t="shared" ca="1" si="783"/>
        <v>1712529.9445749179</v>
      </c>
      <c r="N1081" s="1369">
        <f t="shared" ca="1" si="783"/>
        <v>2370320.3500720463</v>
      </c>
      <c r="O1081" s="1369">
        <f t="shared" ca="1" si="783"/>
        <v>3153749.3411544268</v>
      </c>
      <c r="P1081" s="1369">
        <f t="shared" ca="1" si="783"/>
        <v>4079444.771294232</v>
      </c>
      <c r="Q1081" s="1369"/>
      <c r="R1081" s="1360"/>
      <c r="S1081" s="1358" t="s">
        <v>40</v>
      </c>
      <c r="T1081" s="1361"/>
    </row>
    <row r="1082" spans="1:20" ht="11.25" hidden="1" customHeight="1" x14ac:dyDescent="0.35">
      <c r="A1082" s="319"/>
      <c r="B1082" s="1358"/>
      <c r="C1082" s="1358" t="s">
        <v>1548</v>
      </c>
      <c r="D1082" s="1358"/>
      <c r="E1082" s="1358" t="s">
        <v>1549</v>
      </c>
      <c r="F1082" s="1362"/>
      <c r="G1082" s="1369">
        <f ca="1">(G$673+G$674+G$679+G$319+G$321+G$330+G$332)*IF(IF(G$5=-99,OFFSET(G$5,0,-1),G$5)&lt;CalcPoint,IF(DontCompound=1,1,(1+IF(VariableRate=1,G$1062,DiscMonth))^G$1064),1/((1+IF(VariableRate=1,G$1062,DiscMonth))^G$1064))</f>
        <v>0</v>
      </c>
      <c r="H1082" s="1369">
        <f t="shared" ref="H1082:P1082" ca="1" si="784">(H$673+H$674+H$679+H$319+H$321+H$330+H$332)*IF(IF(H$5=-99,OFFSET(H$5,0,-1),H$5)&lt;=CalcPoint,IF(DontCompound=1,1,(1+IF(VariableRate=1,H$1062,DiscMonth))^IF(MYDisc,H$1066,H$1064)),1/((1+IF(VariableRate=1,H$1062,DiscMonth))^IF(MYDisc,H$1066,H$1064)))</f>
        <v>-1035556.2466290966</v>
      </c>
      <c r="I1082" s="1369">
        <f t="shared" ca="1" si="784"/>
        <v>-260360.97227774517</v>
      </c>
      <c r="J1082" s="1369">
        <f t="shared" ca="1" si="784"/>
        <v>67698.836372146499</v>
      </c>
      <c r="K1082" s="1369">
        <f t="shared" ca="1" si="784"/>
        <v>-7190.8374575385033</v>
      </c>
      <c r="L1082" s="1369">
        <f t="shared" ca="1" si="784"/>
        <v>1259510.369445808</v>
      </c>
      <c r="M1082" s="1369">
        <f t="shared" ca="1" si="784"/>
        <v>1712529.9445749181</v>
      </c>
      <c r="N1082" s="1369">
        <f t="shared" ca="1" si="784"/>
        <v>2370320.3500720463</v>
      </c>
      <c r="O1082" s="1369">
        <f t="shared" ca="1" si="784"/>
        <v>3153749.3411544263</v>
      </c>
      <c r="P1082" s="1369">
        <f t="shared" ca="1" si="784"/>
        <v>4079444.7712942325</v>
      </c>
      <c r="Q1082" s="1369"/>
      <c r="R1082" s="1360"/>
      <c r="S1082" s="1358" t="s">
        <v>40</v>
      </c>
      <c r="T1082" s="1361"/>
    </row>
    <row r="1083" spans="1:20" ht="11.25" hidden="1" customHeight="1" x14ac:dyDescent="0.35">
      <c r="A1083" s="319"/>
      <c r="B1083" s="1358"/>
      <c r="C1083" s="1358" t="s">
        <v>1550</v>
      </c>
      <c r="D1083" s="1358"/>
      <c r="E1083" s="1358" t="s">
        <v>1551</v>
      </c>
      <c r="F1083" s="1362"/>
      <c r="G1083" s="1369">
        <f>IF(OR(AND(G$5=0,NoZeroCol=1),AND(G$5=-99,NoResCol=1)),0,IF(CalcPoint=0,G$1081,G$1082))</f>
        <v>0</v>
      </c>
      <c r="H1083" s="1369">
        <f t="shared" ref="H1083:P1083" ca="1" si="785">IF(OR(AND(H$5=0,NoZeroCol=1),AND(H$5=-99,NoResCol=1)),0,IF(CalcPoint=0,H$1081,H$1082))</f>
        <v>-1035556.2466290966</v>
      </c>
      <c r="I1083" s="1369">
        <f t="shared" ca="1" si="785"/>
        <v>-260360.97227774517</v>
      </c>
      <c r="J1083" s="1369">
        <f t="shared" ca="1" si="785"/>
        <v>67698.836372146499</v>
      </c>
      <c r="K1083" s="1369">
        <f t="shared" ca="1" si="785"/>
        <v>-7190.8374575385033</v>
      </c>
      <c r="L1083" s="1369">
        <f t="shared" ca="1" si="785"/>
        <v>1259510.369445808</v>
      </c>
      <c r="M1083" s="1369">
        <f t="shared" ca="1" si="785"/>
        <v>1712529.9445749179</v>
      </c>
      <c r="N1083" s="1369">
        <f t="shared" ca="1" si="785"/>
        <v>2370320.3500720463</v>
      </c>
      <c r="O1083" s="1369">
        <f t="shared" ca="1" si="785"/>
        <v>3153749.3411544268</v>
      </c>
      <c r="P1083" s="1369">
        <f t="shared" ca="1" si="785"/>
        <v>4079444.771294232</v>
      </c>
      <c r="Q1083" s="1369"/>
      <c r="R1083" s="1360"/>
      <c r="S1083" s="1358" t="s">
        <v>40</v>
      </c>
      <c r="T1083" s="1361"/>
    </row>
    <row r="1084" spans="1:20" ht="11.25" hidden="1" customHeight="1" x14ac:dyDescent="0.35">
      <c r="A1084" s="319"/>
      <c r="B1084" s="1358"/>
      <c r="C1084" s="1358" t="s">
        <v>1552</v>
      </c>
      <c r="D1084" s="1358"/>
      <c r="E1084" s="1358" t="s">
        <v>1553</v>
      </c>
      <c r="F1084" s="1362"/>
      <c r="G1084" s="1369">
        <f>IF(NoZeroCol=1,0,IF(G$1=FinMonth,G$497,0))</f>
        <v>0</v>
      </c>
      <c r="H1084" s="1369">
        <f ca="1">IF(OR(H$1=FinMonth,H$16=LastPeriod),SUM($G$497:H$497)-SUM($G1084:OFFSET(H1084,0,-1)),0)</f>
        <v>0</v>
      </c>
      <c r="I1084" s="1369">
        <f ca="1">IF(OR(I$1=FinMonth,I$16=LastPeriod),SUM($G$497:I$497)-SUM($G1084:OFFSET(I1084,0,-1)),0)</f>
        <v>0</v>
      </c>
      <c r="J1084" s="1369">
        <f ca="1">IF(OR(J$1=FinMonth,J$16=LastPeriod),SUM($G$497:J$497)-SUM($G1084:OFFSET(J1084,0,-1)),0)</f>
        <v>0</v>
      </c>
      <c r="K1084" s="1369">
        <f ca="1">IF(OR(K$1=FinMonth,K$16=LastPeriod),SUM($G$497:K$497)-SUM($G1084:OFFSET(K1084,0,-1)),0)</f>
        <v>0</v>
      </c>
      <c r="L1084" s="1369">
        <f ca="1">IF(OR(L$1=FinMonth,L$16=LastPeriod),SUM($G$497:L$497)-SUM($G1084:OFFSET(L1084,0,-1)),0)</f>
        <v>0</v>
      </c>
      <c r="M1084" s="1369">
        <f ca="1">IF(OR(M$1=FinMonth,M$16=LastPeriod),SUM($G$497:M$497)-SUM($G1084:OFFSET(M1084,0,-1)),0)</f>
        <v>0</v>
      </c>
      <c r="N1084" s="1369">
        <f ca="1">IF(OR(N$1=FinMonth,N$16=LastPeriod),SUM($G$497:N$497)-SUM($G1084:OFFSET(N1084,0,-1)),0)</f>
        <v>0</v>
      </c>
      <c r="O1084" s="1369">
        <f ca="1">IF(OR(O$1=FinMonth,O$16=LastPeriod),SUM($G$497:O$497)-SUM($G1084:OFFSET(O1084,0,-1)),0)</f>
        <v>0</v>
      </c>
      <c r="P1084" s="1369">
        <f ca="1">IF(OR(P$1=FinMonth,P$16=LastPeriod),SUM($G$497:P$497)-SUM($G1084:OFFSET(P1084,0,-1)),0)</f>
        <v>0</v>
      </c>
      <c r="Q1084" s="1369">
        <f ca="1">IF(NoResCol=1,0,Q$497)</f>
        <v>0</v>
      </c>
      <c r="R1084" s="1360"/>
      <c r="S1084" s="1358" t="s">
        <v>40</v>
      </c>
      <c r="T1084" s="1361"/>
    </row>
    <row r="1085" spans="1:20" ht="11.25" hidden="1" customHeight="1" x14ac:dyDescent="0.35">
      <c r="A1085" s="319"/>
      <c r="B1085" s="1358"/>
      <c r="C1085" s="1358" t="s">
        <v>1554</v>
      </c>
      <c r="D1085" s="1358"/>
      <c r="E1085" s="1358" t="s">
        <v>1555</v>
      </c>
      <c r="F1085" s="1362"/>
      <c r="G1085" s="1369">
        <f>IF(NoZeroCol=1,0,IF(G$1=FinMonth,G$432,0))</f>
        <v>0</v>
      </c>
      <c r="H1085" s="1369">
        <f ca="1">IF(OR(H$1=FinMonth,H$16=LastPeriod),SUM($G$432:H$432)-SUM($G1085:OFFSET(H1085,0,-1)),0)</f>
        <v>0</v>
      </c>
      <c r="I1085" s="1369">
        <f ca="1">IF(OR(I$1=FinMonth,I$16=LastPeriod),SUM($G$432:I$432)-SUM($G1085:OFFSET(I1085,0,-1)),0)</f>
        <v>0</v>
      </c>
      <c r="J1085" s="1369">
        <f ca="1">IF(OR(J$1=FinMonth,J$16=LastPeriod),SUM($G$432:J$432)-SUM($G1085:OFFSET(J1085,0,-1)),0)</f>
        <v>0</v>
      </c>
      <c r="K1085" s="1369">
        <f ca="1">IF(OR(K$1=FinMonth,K$16=LastPeriod),SUM($G$432:K$432)-SUM($G1085:OFFSET(K1085,0,-1)),0)</f>
        <v>0</v>
      </c>
      <c r="L1085" s="1369">
        <f ca="1">IF(OR(L$1=FinMonth,L$16=LastPeriod),SUM($G$432:L$432)-SUM($G1085:OFFSET(L1085,0,-1)),0)</f>
        <v>0</v>
      </c>
      <c r="M1085" s="1369">
        <f ca="1">IF(OR(M$1=FinMonth,M$16=LastPeriod),SUM($G$432:M$432)-SUM($G1085:OFFSET(M1085,0,-1)),0)</f>
        <v>0</v>
      </c>
      <c r="N1085" s="1369">
        <f ca="1">IF(OR(N$1=FinMonth,N$16=LastPeriod),SUM($G$432:N$432)-SUM($G1085:OFFSET(N1085,0,-1)),0)</f>
        <v>0</v>
      </c>
      <c r="O1085" s="1369">
        <f ca="1">IF(OR(O$1=FinMonth,O$16=LastPeriod),SUM($G$432:O$432)-SUM($G1085:OFFSET(O1085,0,-1)),0)</f>
        <v>0</v>
      </c>
      <c r="P1085" s="1369">
        <f ca="1">IF(OR(P$1=FinMonth,P$16=LastPeriod),SUM($G$432:P$432)-SUM($G1085:OFFSET(P1085,0,-1)),0)</f>
        <v>0</v>
      </c>
      <c r="Q1085" s="1369">
        <f>IF(NoResCol=1,0,Q$432)</f>
        <v>0</v>
      </c>
      <c r="R1085" s="1360"/>
      <c r="S1085" s="1358" t="s">
        <v>40</v>
      </c>
      <c r="T1085" s="1361"/>
    </row>
    <row r="1086" spans="1:20" ht="11.25" hidden="1" customHeight="1" x14ac:dyDescent="0.35">
      <c r="A1086" s="319"/>
      <c r="B1086" s="1358"/>
      <c r="C1086" s="1358" t="s">
        <v>1556</v>
      </c>
      <c r="D1086" s="1358"/>
      <c r="E1086" s="1358" t="s">
        <v>1557</v>
      </c>
      <c r="F1086" s="1362"/>
      <c r="G1086" s="1369">
        <f ca="1">IF(NoZeroCol=1,0,IF(G$1=FinMonth,G$504+G$505-OFFSET($E$487,0,G$8)-IF(GoodwillDepreciationTax=0,G$492,0),0))</f>
        <v>0</v>
      </c>
      <c r="H1086" s="1369">
        <f ca="1">IF(OR(H$1=FinMonth,H$16=LastPeriod),(SUM($G$504:H$504)+SUM($G$505:H$505)-SUM(OFFSET($E$487,0,$G$8):OFFSET($E$487,0,H$8))-IF(GoodwillDepreciationTax=0,SUM($G$492:H$492),0))-SUM($G1086:OFFSET(H1086,0,-1)),0)</f>
        <v>0</v>
      </c>
      <c r="I1086" s="1369">
        <f ca="1">IF(OR(I$1=FinMonth,I$16=LastPeriod),(SUM($G$504:I$504)+SUM($G$505:I$505)-SUM(OFFSET($E$487,0,$G$8):OFFSET($E$487,0,I$8))-IF(GoodwillDepreciationTax=0,SUM($G$492:I$492),0))-SUM($G1086:OFFSET(I1086,0,-1)),0)</f>
        <v>0</v>
      </c>
      <c r="J1086" s="1369">
        <f ca="1">IF(OR(J$1=FinMonth,J$16=LastPeriod),(SUM($G$504:J$504)+SUM($G$505:J$505)-SUM(OFFSET($E$487,0,$G$8):OFFSET($E$487,0,J$8))-IF(GoodwillDepreciationTax=0,SUM($G$492:J$492),0))-SUM($G1086:OFFSET(J1086,0,-1)),0)</f>
        <v>0</v>
      </c>
      <c r="K1086" s="1369">
        <f ca="1">IF(OR(K$1=FinMonth,K$16=LastPeriod),(SUM($G$504:K$504)+SUM($G$505:K$505)-SUM(OFFSET($E$487,0,$G$8):OFFSET($E$487,0,K$8))-IF(GoodwillDepreciationTax=0,SUM($G$492:K$492),0))-SUM($G1086:OFFSET(K1086,0,-1)),0)</f>
        <v>285676.10168372968</v>
      </c>
      <c r="L1086" s="1369">
        <f ca="1">IF(OR(L$1=FinMonth,L$16=LastPeriod),(SUM($G$504:L$504)+SUM($G$505:L$505)-SUM(OFFSET($E$487,0,$G$8):OFFSET($E$487,0,L$8))-IF(GoodwillDepreciationTax=0,SUM($G$492:L$492),0))-SUM($G1086:OFFSET(L1086,0,-1)),0)</f>
        <v>1681966.9623718653</v>
      </c>
      <c r="M1086" s="1369">
        <f ca="1">IF(OR(M$1=FinMonth,M$16=LastPeriod),(SUM($G$504:M$504)+SUM($G$505:M$505)-SUM(OFFSET($E$487,0,$G$8):OFFSET($E$487,0,M$8))-IF(GoodwillDepreciationTax=0,SUM($G$492:M$492),0))-SUM($G1086:OFFSET(M1086,0,-1)),0)</f>
        <v>2704537.6539055356</v>
      </c>
      <c r="N1086" s="1369">
        <f ca="1">IF(OR(N$1=FinMonth,N$16=LastPeriod),(SUM($G$504:N$504)+SUM($G$505:N$505)-SUM(OFFSET($E$487,0,$G$8):OFFSET($E$487,0,N$8))-IF(GoodwillDepreciationTax=0,SUM($G$492:N$492),0))-SUM($G1086:OFFSET(N1086,0,-1)),0)</f>
        <v>3956917.2197842803</v>
      </c>
      <c r="O1086" s="1369">
        <f ca="1">IF(OR(O$1=FinMonth,O$16=LastPeriod),(SUM($G$504:O$504)+SUM($G$505:O$505)-SUM(OFFSET($E$487,0,$G$8):OFFSET($E$487,0,O$8))-IF(GoodwillDepreciationTax=0,SUM($G$492:O$492),0))-SUM($G1086:OFFSET(O1086,0,-1)),0)</f>
        <v>5458958.1645482406</v>
      </c>
      <c r="P1086" s="1369">
        <f ca="1">IF(OR(P$1=FinMonth,P$16=LastPeriod),(SUM($G$504:P$504)+SUM($G$505:P$505)-SUM(OFFSET($E$487,0,$G$8):OFFSET($E$487,0,P$8))-IF(GoodwillDepreciationTax=0,SUM($G$492:P$492),0))-SUM($G1086:OFFSET(P1086,0,-1)),0)</f>
        <v>7297084.0543059707</v>
      </c>
      <c r="Q1086" s="1369">
        <f ca="1">IF(NoResCol=1,0,Q$504+Q$505-OFFSET($E$487,0,Q$8)-IF(GoodwillDepreciationTax=0,Q$492,0))</f>
        <v>-1067306.4778645835</v>
      </c>
      <c r="R1086" s="1360"/>
      <c r="S1086" s="1358" t="s">
        <v>40</v>
      </c>
      <c r="T1086" s="1361"/>
    </row>
    <row r="1087" spans="1:20" ht="11.25" hidden="1" customHeight="1" x14ac:dyDescent="0.35">
      <c r="A1087" s="319"/>
      <c r="B1087" s="1358"/>
      <c r="C1087" s="1358" t="s">
        <v>1558</v>
      </c>
      <c r="D1087" s="1358"/>
      <c r="E1087" s="1358" t="s">
        <v>1559</v>
      </c>
      <c r="F1087" s="1362"/>
      <c r="G1087" s="1369">
        <f>IF(NoZeroCol=1,0,IF(G$1=FinMonth,G$525+G$526-IF(GoodwillDepreciationTax=0,G$425,0),0))</f>
        <v>0</v>
      </c>
      <c r="H1087" s="1369">
        <f ca="1">IF(OR(H$1=FinMonth,H$16=LastPeriod),(SUM($G$525:H$525)+SUM($G$526:H$526)-IF(GoodwillDepreciationTax=0,SUM($G$425:H$425),0))-SUM($G1087:OFFSET(H1087,0,-1)),0)</f>
        <v>0</v>
      </c>
      <c r="I1087" s="1369">
        <f ca="1">IF(OR(I$1=FinMonth,I$16=LastPeriod),(SUM($G$525:I$525)+SUM($G$526:I$526)-IF(GoodwillDepreciationTax=0,SUM($G$425:I$425),0))-SUM($G1087:OFFSET(I1087,0,-1)),0)</f>
        <v>0</v>
      </c>
      <c r="J1087" s="1369">
        <f ca="1">IF(OR(J$1=FinMonth,J$16=LastPeriod),(SUM($G$525:J$525)+SUM($G$526:J$526)-IF(GoodwillDepreciationTax=0,SUM($G$425:J$425),0))-SUM($G1087:OFFSET(J1087,0,-1)),0)</f>
        <v>0</v>
      </c>
      <c r="K1087" s="1369">
        <f ca="1">IF(OR(K$1=FinMonth,K$16=LastPeriod),(SUM($G$525:K$525)+SUM($G$526:K$526)-IF(GoodwillDepreciationTax=0,SUM($G$425:K$425),0))-SUM($G1087:OFFSET(K1087,0,-1)),0)</f>
        <v>0</v>
      </c>
      <c r="L1087" s="1369">
        <f ca="1">IF(OR(L$1=FinMonth,L$16=LastPeriod),(SUM($G$525:L$525)+SUM($G$526:L$526)-IF(GoodwillDepreciationTax=0,SUM($G$425:L$425),0))-SUM($G1087:OFFSET(L1087,0,-1)),0)</f>
        <v>0</v>
      </c>
      <c r="M1087" s="1369">
        <f ca="1">IF(OR(M$1=FinMonth,M$16=LastPeriod),(SUM($G$525:M$525)+SUM($G$526:M$526)-IF(GoodwillDepreciationTax=0,SUM($G$425:M$425),0))-SUM($G1087:OFFSET(M1087,0,-1)),0)</f>
        <v>0</v>
      </c>
      <c r="N1087" s="1369">
        <f ca="1">IF(OR(N$1=FinMonth,N$16=LastPeriod),(SUM($G$525:N$525)+SUM($G$526:N$526)-IF(GoodwillDepreciationTax=0,SUM($G$425:N$425),0))-SUM($G1087:OFFSET(N1087,0,-1)),0)</f>
        <v>0</v>
      </c>
      <c r="O1087" s="1369">
        <f ca="1">IF(OR(O$1=FinMonth,O$16=LastPeriod),(SUM($G$525:O$525)+SUM($G$526:O$526)-IF(GoodwillDepreciationTax=0,SUM($G$425:O$425),0))-SUM($G1087:OFFSET(O1087,0,-1)),0)</f>
        <v>0</v>
      </c>
      <c r="P1087" s="1369">
        <f ca="1">IF(OR(P$1=FinMonth,P$16=LastPeriod),(SUM($G$525:P$525)+SUM($G$526:P$526)-IF(GoodwillDepreciationTax=0,SUM($G$425:P$425),0))-SUM($G1087:OFFSET(P1087,0,-1)),0)</f>
        <v>0</v>
      </c>
      <c r="Q1087" s="1369">
        <f>IF(NoResCol=1,0,Q$525+Q$526-IF(GoodwillDepreciationTax=0,Q$425,0))</f>
        <v>0</v>
      </c>
      <c r="R1087" s="1360"/>
      <c r="S1087" s="1358" t="s">
        <v>40</v>
      </c>
      <c r="T1087" s="1361"/>
    </row>
    <row r="1088" spans="1:20" ht="11.25" hidden="1" customHeight="1" x14ac:dyDescent="0.35">
      <c r="A1088" s="319"/>
      <c r="B1088" s="1358"/>
      <c r="C1088" s="1358" t="s">
        <v>1560</v>
      </c>
      <c r="D1088" s="1358"/>
      <c r="E1088" s="1358" t="s">
        <v>1561</v>
      </c>
      <c r="F1088" s="1369"/>
      <c r="G1088" s="1369">
        <f ca="1">MIN(G$1086*-G$4,IF(InclPosTax=1,999999999999999,0))</f>
        <v>0</v>
      </c>
      <c r="H1088" s="1369">
        <f t="shared" ref="H1088:Q1088" ca="1" si="786">MIN(H$1086*-H$4,IF(InclPosTax=1,999999999999999,0))</f>
        <v>0</v>
      </c>
      <c r="I1088" s="1369">
        <f t="shared" ca="1" si="786"/>
        <v>0</v>
      </c>
      <c r="J1088" s="1369">
        <f t="shared" ca="1" si="786"/>
        <v>0</v>
      </c>
      <c r="K1088" s="1369">
        <f t="shared" ca="1" si="786"/>
        <v>-79989.30847144431</v>
      </c>
      <c r="L1088" s="1369">
        <f t="shared" ca="1" si="786"/>
        <v>-470950.74946412235</v>
      </c>
      <c r="M1088" s="1369">
        <f t="shared" ca="1" si="786"/>
        <v>-757270.54309355002</v>
      </c>
      <c r="N1088" s="1369">
        <f t="shared" ca="1" si="786"/>
        <v>-1107936.8215395985</v>
      </c>
      <c r="O1088" s="1369">
        <f t="shared" ca="1" si="786"/>
        <v>-1528508.2860735075</v>
      </c>
      <c r="P1088" s="1369">
        <f t="shared" ca="1" si="786"/>
        <v>-2043183.535205672</v>
      </c>
      <c r="Q1088" s="1369">
        <f t="shared" ca="1" si="786"/>
        <v>0</v>
      </c>
      <c r="R1088" s="1360"/>
      <c r="S1088" s="1358" t="s">
        <v>40</v>
      </c>
      <c r="T1088" s="1361"/>
    </row>
    <row r="1089" spans="1:20" ht="11.25" hidden="1" customHeight="1" x14ac:dyDescent="0.35">
      <c r="A1089" s="319"/>
      <c r="B1089" s="1358"/>
      <c r="C1089" s="1358" t="s">
        <v>1562</v>
      </c>
      <c r="D1089" s="1358"/>
      <c r="E1089" s="1358" t="s">
        <v>1563</v>
      </c>
      <c r="F1089" s="1369"/>
      <c r="G1089" s="1369">
        <f ca="1">G$1088+MIN(G$1087*-TaxRateM,IF(InclPosTax=1,999999999999999,0))</f>
        <v>0</v>
      </c>
      <c r="H1089" s="1369">
        <f t="shared" ref="H1089:Q1089" ca="1" si="787">H$1088+MIN(H$1087*-TaxRateM,IF(InclPosTax=1,999999999999999,0))</f>
        <v>0</v>
      </c>
      <c r="I1089" s="1369">
        <f t="shared" ca="1" si="787"/>
        <v>0</v>
      </c>
      <c r="J1089" s="1369">
        <f t="shared" ca="1" si="787"/>
        <v>0</v>
      </c>
      <c r="K1089" s="1369">
        <f t="shared" ca="1" si="787"/>
        <v>-79989.30847144431</v>
      </c>
      <c r="L1089" s="1369">
        <f t="shared" ca="1" si="787"/>
        <v>-470950.74946412235</v>
      </c>
      <c r="M1089" s="1369">
        <f t="shared" ca="1" si="787"/>
        <v>-757270.54309355002</v>
      </c>
      <c r="N1089" s="1369">
        <f t="shared" ca="1" si="787"/>
        <v>-1107936.8215395985</v>
      </c>
      <c r="O1089" s="1369">
        <f t="shared" ca="1" si="787"/>
        <v>-1528508.2860735075</v>
      </c>
      <c r="P1089" s="1369">
        <f t="shared" ca="1" si="787"/>
        <v>-2043183.535205672</v>
      </c>
      <c r="Q1089" s="1369">
        <f t="shared" ca="1" si="787"/>
        <v>0</v>
      </c>
      <c r="R1089" s="1360"/>
      <c r="S1089" s="1358" t="s">
        <v>40</v>
      </c>
      <c r="T1089" s="1361"/>
    </row>
    <row r="1090" spans="1:20" ht="11.25" hidden="1" customHeight="1" x14ac:dyDescent="0.35">
      <c r="A1090" s="319"/>
      <c r="B1090" s="1358"/>
      <c r="C1090" s="1358" t="s">
        <v>1564</v>
      </c>
      <c r="D1090" s="1358"/>
      <c r="E1090" s="1358" t="s">
        <v>1565</v>
      </c>
      <c r="F1090" s="1369"/>
      <c r="G1090" s="1369">
        <f ca="1">MIN((G$1086-IF(InclFinTax=0,G$1084,0))*-G$4,IF(InclPosTax=0,0,999999999))</f>
        <v>0</v>
      </c>
      <c r="H1090" s="1369">
        <f t="shared" ref="H1090:Q1090" ca="1" si="788">MIN((H$1086-IF(InclFinTax=0,H$1084,0))*-H$4,IF(InclPosTax=0,0,999999999))</f>
        <v>0</v>
      </c>
      <c r="I1090" s="1369">
        <f t="shared" ca="1" si="788"/>
        <v>0</v>
      </c>
      <c r="J1090" s="1369">
        <f t="shared" ca="1" si="788"/>
        <v>0</v>
      </c>
      <c r="K1090" s="1369">
        <f t="shared" ca="1" si="788"/>
        <v>-79989.30847144431</v>
      </c>
      <c r="L1090" s="1369">
        <f t="shared" ca="1" si="788"/>
        <v>-470950.74946412235</v>
      </c>
      <c r="M1090" s="1369">
        <f t="shared" ca="1" si="788"/>
        <v>-757270.54309355002</v>
      </c>
      <c r="N1090" s="1369">
        <f t="shared" ca="1" si="788"/>
        <v>-1107936.8215395985</v>
      </c>
      <c r="O1090" s="1369">
        <f t="shared" ca="1" si="788"/>
        <v>-1528508.2860735075</v>
      </c>
      <c r="P1090" s="1369">
        <f t="shared" ca="1" si="788"/>
        <v>-2043183.535205672</v>
      </c>
      <c r="Q1090" s="1369">
        <f t="shared" ca="1" si="788"/>
        <v>0</v>
      </c>
      <c r="R1090" s="1360"/>
      <c r="S1090" s="1358" t="s">
        <v>40</v>
      </c>
      <c r="T1090" s="1361"/>
    </row>
    <row r="1091" spans="1:20" ht="11.25" hidden="1" customHeight="1" x14ac:dyDescent="0.35">
      <c r="A1091" s="319"/>
      <c r="B1091" s="1358"/>
      <c r="C1091" s="1358" t="s">
        <v>1566</v>
      </c>
      <c r="D1091" s="1358"/>
      <c r="E1091" s="1358" t="s">
        <v>1567</v>
      </c>
      <c r="F1091" s="1369"/>
      <c r="G1091" s="1369">
        <f ca="1">MIN((G$1087-IF(InclFinTax=0,G$1085,0))*-TaxRateM,IF(InclPosTax=0,0,999999999))</f>
        <v>0</v>
      </c>
      <c r="H1091" s="1369">
        <f t="shared" ref="H1091:Q1091" ca="1" si="789">MIN((H$1087-IF(InclFinTax=0,H$1085,0))*-TaxRateM,IF(InclPosTax=0,0,999999999))</f>
        <v>0</v>
      </c>
      <c r="I1091" s="1369">
        <f t="shared" ca="1" si="789"/>
        <v>0</v>
      </c>
      <c r="J1091" s="1369">
        <f t="shared" ca="1" si="789"/>
        <v>0</v>
      </c>
      <c r="K1091" s="1369">
        <f t="shared" ca="1" si="789"/>
        <v>0</v>
      </c>
      <c r="L1091" s="1369">
        <f t="shared" ca="1" si="789"/>
        <v>0</v>
      </c>
      <c r="M1091" s="1369">
        <f t="shared" ca="1" si="789"/>
        <v>0</v>
      </c>
      <c r="N1091" s="1369">
        <f t="shared" ca="1" si="789"/>
        <v>0</v>
      </c>
      <c r="O1091" s="1369">
        <f t="shared" ca="1" si="789"/>
        <v>0</v>
      </c>
      <c r="P1091" s="1369">
        <f t="shared" ca="1" si="789"/>
        <v>0</v>
      </c>
      <c r="Q1091" s="1369">
        <f t="shared" ca="1" si="789"/>
        <v>0</v>
      </c>
      <c r="R1091" s="1360"/>
      <c r="S1091" s="1358" t="s">
        <v>40</v>
      </c>
      <c r="T1091" s="1361"/>
    </row>
    <row r="1092" spans="1:20" ht="11.25" hidden="1" customHeight="1" x14ac:dyDescent="0.35">
      <c r="A1092" s="319"/>
      <c r="B1092" s="1358"/>
      <c r="C1092" s="1358" t="s">
        <v>1045</v>
      </c>
      <c r="D1092" s="1358"/>
      <c r="E1092" s="1358" t="s">
        <v>1568</v>
      </c>
      <c r="F1092" s="1369"/>
      <c r="G1092" s="1369">
        <f ca="1">G$1094+G$1095</f>
        <v>0</v>
      </c>
      <c r="H1092" s="1369">
        <f t="shared" ref="H1092:Q1092" ca="1" si="790">H$1094+H$1095</f>
        <v>0</v>
      </c>
      <c r="I1092" s="1369">
        <f t="shared" ca="1" si="790"/>
        <v>0</v>
      </c>
      <c r="J1092" s="1369">
        <f t="shared" ca="1" si="790"/>
        <v>0</v>
      </c>
      <c r="K1092" s="1369">
        <f t="shared" ca="1" si="790"/>
        <v>0</v>
      </c>
      <c r="L1092" s="1369">
        <f t="shared" ca="1" si="790"/>
        <v>0</v>
      </c>
      <c r="M1092" s="1369">
        <f t="shared" ca="1" si="790"/>
        <v>0</v>
      </c>
      <c r="N1092" s="1369">
        <f t="shared" ca="1" si="790"/>
        <v>0</v>
      </c>
      <c r="O1092" s="1369">
        <f t="shared" ca="1" si="790"/>
        <v>0</v>
      </c>
      <c r="P1092" s="1369">
        <f t="shared" ca="1" si="790"/>
        <v>0</v>
      </c>
      <c r="Q1092" s="1369">
        <f t="shared" ca="1" si="790"/>
        <v>0</v>
      </c>
      <c r="R1092" s="1360"/>
      <c r="S1092" s="1358" t="s">
        <v>40</v>
      </c>
      <c r="T1092" s="1361"/>
    </row>
    <row r="1093" spans="1:20" ht="11.25" hidden="1" customHeight="1" x14ac:dyDescent="0.35">
      <c r="A1093" s="319"/>
      <c r="B1093" s="1358"/>
      <c r="C1093" s="1358" t="s">
        <v>1569</v>
      </c>
      <c r="D1093" s="1358"/>
      <c r="E1093" s="1358" t="s">
        <v>1570</v>
      </c>
      <c r="F1093" s="1369"/>
      <c r="G1093" s="1369">
        <f t="shared" ref="G1093:Q1093" ca="1" si="791">IF(AcqMotherTaxInUse=1,AcqMotherTax/100,G$4)</f>
        <v>0.28000000000000003</v>
      </c>
      <c r="H1093" s="1369">
        <f t="shared" ca="1" si="791"/>
        <v>0.28000000000000003</v>
      </c>
      <c r="I1093" s="1369">
        <f t="shared" ca="1" si="791"/>
        <v>0.28000000000000003</v>
      </c>
      <c r="J1093" s="1369">
        <f t="shared" ca="1" si="791"/>
        <v>0.28000000000000003</v>
      </c>
      <c r="K1093" s="1369">
        <f t="shared" ca="1" si="791"/>
        <v>0.28000000000000003</v>
      </c>
      <c r="L1093" s="1369">
        <f t="shared" ca="1" si="791"/>
        <v>0.28000000000000003</v>
      </c>
      <c r="M1093" s="1369">
        <f t="shared" ca="1" si="791"/>
        <v>0.28000000000000003</v>
      </c>
      <c r="N1093" s="1369">
        <f t="shared" ca="1" si="791"/>
        <v>0.28000000000000003</v>
      </c>
      <c r="O1093" s="1369">
        <f t="shared" ca="1" si="791"/>
        <v>0.28000000000000003</v>
      </c>
      <c r="P1093" s="1369">
        <f t="shared" ca="1" si="791"/>
        <v>0.28000000000000003</v>
      </c>
      <c r="Q1093" s="1369">
        <f t="shared" ca="1" si="791"/>
        <v>0.28000000000000003</v>
      </c>
      <c r="R1093" s="1360"/>
      <c r="S1093" s="1358" t="s">
        <v>40</v>
      </c>
      <c r="T1093" s="1361"/>
    </row>
    <row r="1094" spans="1:20" ht="11.25" hidden="1" customHeight="1" x14ac:dyDescent="0.35">
      <c r="A1094" s="319"/>
      <c r="B1094" s="1358"/>
      <c r="C1094" s="1358" t="s">
        <v>1571</v>
      </c>
      <c r="D1094" s="1358"/>
      <c r="E1094" s="1358" t="s">
        <v>1572</v>
      </c>
      <c r="F1094" s="1369"/>
      <c r="G1094" s="1369">
        <f t="shared" ref="G1094:Q1094" ca="1" si="792">OFFSET($E$508,0,G$8)-OFFSET($E$668,0,G$8)</f>
        <v>0</v>
      </c>
      <c r="H1094" s="1369">
        <f t="shared" ca="1" si="792"/>
        <v>0</v>
      </c>
      <c r="I1094" s="1369">
        <f t="shared" ca="1" si="792"/>
        <v>0</v>
      </c>
      <c r="J1094" s="1369">
        <f t="shared" ca="1" si="792"/>
        <v>0</v>
      </c>
      <c r="K1094" s="1369">
        <f t="shared" ca="1" si="792"/>
        <v>0</v>
      </c>
      <c r="L1094" s="1369">
        <f t="shared" ca="1" si="792"/>
        <v>0</v>
      </c>
      <c r="M1094" s="1369">
        <f t="shared" ca="1" si="792"/>
        <v>0</v>
      </c>
      <c r="N1094" s="1369">
        <f t="shared" ca="1" si="792"/>
        <v>0</v>
      </c>
      <c r="O1094" s="1369">
        <f t="shared" ca="1" si="792"/>
        <v>0</v>
      </c>
      <c r="P1094" s="1369">
        <f t="shared" ca="1" si="792"/>
        <v>0</v>
      </c>
      <c r="Q1094" s="1369">
        <f t="shared" ca="1" si="792"/>
        <v>0</v>
      </c>
      <c r="R1094" s="1360"/>
      <c r="S1094" s="1358" t="s">
        <v>40</v>
      </c>
      <c r="T1094" s="1361"/>
    </row>
    <row r="1095" spans="1:20" ht="11.25" hidden="1" customHeight="1" x14ac:dyDescent="0.35">
      <c r="A1095" s="319"/>
      <c r="B1095" s="1358"/>
      <c r="C1095" s="1358" t="s">
        <v>1573</v>
      </c>
      <c r="D1095" s="1358"/>
      <c r="E1095" s="1358" t="s">
        <v>1574</v>
      </c>
      <c r="F1095" s="1369"/>
      <c r="G1095" s="1369">
        <f t="shared" ref="G1095:Q1095" ca="1" si="793">IF(AutoManualTax=0,OFFSET($E$527,0,G$8)-OFFSET($E$508,0,G$8)-OFFSET($E$679,0,G$8),0)</f>
        <v>0</v>
      </c>
      <c r="H1095" s="1369">
        <f t="shared" ca="1" si="793"/>
        <v>0</v>
      </c>
      <c r="I1095" s="1369">
        <f t="shared" ca="1" si="793"/>
        <v>0</v>
      </c>
      <c r="J1095" s="1369">
        <f t="shared" ca="1" si="793"/>
        <v>0</v>
      </c>
      <c r="K1095" s="1369">
        <f t="shared" ca="1" si="793"/>
        <v>0</v>
      </c>
      <c r="L1095" s="1369">
        <f t="shared" ca="1" si="793"/>
        <v>0</v>
      </c>
      <c r="M1095" s="1369">
        <f t="shared" ca="1" si="793"/>
        <v>0</v>
      </c>
      <c r="N1095" s="1369">
        <f t="shared" ca="1" si="793"/>
        <v>0</v>
      </c>
      <c r="O1095" s="1369">
        <f t="shared" ca="1" si="793"/>
        <v>0</v>
      </c>
      <c r="P1095" s="1369">
        <f t="shared" ca="1" si="793"/>
        <v>0</v>
      </c>
      <c r="Q1095" s="1369">
        <f t="shared" ca="1" si="793"/>
        <v>0</v>
      </c>
      <c r="R1095" s="1360"/>
      <c r="S1095" s="1358" t="s">
        <v>40</v>
      </c>
      <c r="T1095" s="1361"/>
    </row>
    <row r="1096" spans="1:20" ht="11.25" hidden="1" customHeight="1" x14ac:dyDescent="0.35">
      <c r="A1096" s="319"/>
      <c r="B1096" s="1358"/>
      <c r="C1096" s="1358"/>
      <c r="D1096" s="1358"/>
      <c r="E1096" s="1358" t="s">
        <v>1575</v>
      </c>
      <c r="F1096" s="1369"/>
      <c r="G1096" s="1369"/>
      <c r="H1096" s="1369"/>
      <c r="I1096" s="1369"/>
      <c r="J1096" s="1369"/>
      <c r="K1096" s="1369"/>
      <c r="L1096" s="1369"/>
      <c r="M1096" s="1369"/>
      <c r="N1096" s="1369"/>
      <c r="O1096" s="1369"/>
      <c r="P1096" s="1369"/>
      <c r="Q1096" s="1369"/>
      <c r="R1096" s="1360"/>
      <c r="S1096" s="1358" t="s">
        <v>40</v>
      </c>
      <c r="T1096" s="1361"/>
    </row>
    <row r="1097" spans="1:20" ht="11.25" hidden="1" customHeight="1" x14ac:dyDescent="0.35">
      <c r="A1097" s="319"/>
      <c r="B1097" s="1358"/>
      <c r="C1097" s="1358"/>
      <c r="D1097" s="1358"/>
      <c r="E1097" s="1358" t="s">
        <v>1576</v>
      </c>
      <c r="F1097" s="1369"/>
      <c r="G1097" s="1369"/>
      <c r="H1097" s="1369"/>
      <c r="I1097" s="1369"/>
      <c r="J1097" s="1369"/>
      <c r="K1097" s="1369"/>
      <c r="L1097" s="1369"/>
      <c r="M1097" s="1369"/>
      <c r="N1097" s="1369"/>
      <c r="O1097" s="1369"/>
      <c r="P1097" s="1369"/>
      <c r="Q1097" s="1369"/>
      <c r="R1097" s="1360"/>
      <c r="S1097" s="1358" t="s">
        <v>40</v>
      </c>
      <c r="T1097" s="1361"/>
    </row>
    <row r="1098" spans="1:20" ht="11.25" hidden="1" customHeight="1" x14ac:dyDescent="0.35">
      <c r="A1098" s="319"/>
      <c r="B1098" s="1358"/>
      <c r="C1098" s="1358"/>
      <c r="D1098" s="1358"/>
      <c r="E1098" s="1358" t="s">
        <v>1577</v>
      </c>
      <c r="F1098" s="1369"/>
      <c r="G1098" s="1369"/>
      <c r="H1098" s="1369"/>
      <c r="I1098" s="1369"/>
      <c r="J1098" s="1369"/>
      <c r="K1098" s="1369"/>
      <c r="L1098" s="1369"/>
      <c r="M1098" s="1369"/>
      <c r="N1098" s="1369"/>
      <c r="O1098" s="1369"/>
      <c r="P1098" s="1369"/>
      <c r="Q1098" s="1369"/>
      <c r="R1098" s="1360"/>
      <c r="S1098" s="1358" t="s">
        <v>40</v>
      </c>
      <c r="T1098" s="1361"/>
    </row>
    <row r="1099" spans="1:20" ht="11.25" hidden="1" customHeight="1" x14ac:dyDescent="0.35">
      <c r="A1099" s="319"/>
      <c r="B1099" s="1358"/>
      <c r="C1099" s="1358"/>
      <c r="D1099" s="1358"/>
      <c r="E1099" s="1358" t="s">
        <v>1578</v>
      </c>
      <c r="F1099" s="1369"/>
      <c r="G1099" s="1369"/>
      <c r="H1099" s="1369"/>
      <c r="I1099" s="1369"/>
      <c r="J1099" s="1369"/>
      <c r="K1099" s="1369"/>
      <c r="L1099" s="1369"/>
      <c r="M1099" s="1369"/>
      <c r="N1099" s="1369"/>
      <c r="O1099" s="1369"/>
      <c r="P1099" s="1369"/>
      <c r="Q1099" s="1369"/>
      <c r="R1099" s="1360"/>
      <c r="S1099" s="1358" t="s">
        <v>40</v>
      </c>
      <c r="T1099" s="1361"/>
    </row>
    <row r="1100" spans="1:20" ht="11.25" hidden="1" customHeight="1" x14ac:dyDescent="0.35">
      <c r="A1100" s="319"/>
      <c r="B1100" s="1358"/>
      <c r="C1100" s="1358"/>
      <c r="D1100" s="1358"/>
      <c r="E1100" s="1358" t="s">
        <v>1579</v>
      </c>
      <c r="F1100" s="1369"/>
      <c r="G1100" s="1369"/>
      <c r="H1100" s="1369"/>
      <c r="I1100" s="1369"/>
      <c r="J1100" s="1369"/>
      <c r="K1100" s="1369"/>
      <c r="L1100" s="1369"/>
      <c r="M1100" s="1369"/>
      <c r="N1100" s="1369"/>
      <c r="O1100" s="1369"/>
      <c r="P1100" s="1369"/>
      <c r="Q1100" s="1369"/>
      <c r="R1100" s="1360"/>
      <c r="S1100" s="1358" t="s">
        <v>40</v>
      </c>
      <c r="T1100" s="1361"/>
    </row>
    <row r="1101" spans="1:20" ht="11.25" hidden="1" customHeight="1" x14ac:dyDescent="0.35">
      <c r="A1101" s="319"/>
      <c r="B1101" s="1358"/>
      <c r="C1101" s="1358"/>
      <c r="D1101" s="1358"/>
      <c r="E1101" s="1358" t="s">
        <v>1580</v>
      </c>
      <c r="F1101" s="1369"/>
      <c r="G1101" s="1369"/>
      <c r="H1101" s="1369"/>
      <c r="I1101" s="1369"/>
      <c r="J1101" s="1369"/>
      <c r="K1101" s="1369"/>
      <c r="L1101" s="1369"/>
      <c r="M1101" s="1369"/>
      <c r="N1101" s="1369"/>
      <c r="O1101" s="1369"/>
      <c r="P1101" s="1369"/>
      <c r="Q1101" s="1369"/>
      <c r="R1101" s="1360"/>
      <c r="S1101" s="1358" t="s">
        <v>40</v>
      </c>
      <c r="T1101" s="1361"/>
    </row>
    <row r="1102" spans="1:20" ht="11.25" hidden="1" customHeight="1" x14ac:dyDescent="0.35">
      <c r="A1102" s="319"/>
      <c r="B1102" s="1358"/>
      <c r="C1102" s="1358"/>
      <c r="D1102" s="1358"/>
      <c r="E1102" s="1358" t="s">
        <v>1581</v>
      </c>
      <c r="F1102" s="1369"/>
      <c r="G1102" s="1369"/>
      <c r="H1102" s="1369"/>
      <c r="I1102" s="1369"/>
      <c r="J1102" s="1369"/>
      <c r="K1102" s="1369"/>
      <c r="L1102" s="1369"/>
      <c r="M1102" s="1369"/>
      <c r="N1102" s="1369"/>
      <c r="O1102" s="1369"/>
      <c r="P1102" s="1369"/>
      <c r="Q1102" s="1369"/>
      <c r="R1102" s="1360"/>
      <c r="S1102" s="1358" t="s">
        <v>40</v>
      </c>
      <c r="T1102" s="1361"/>
    </row>
    <row r="1103" spans="1:20" ht="11.25" hidden="1" customHeight="1" x14ac:dyDescent="0.35">
      <c r="A1103" s="319"/>
      <c r="B1103" s="1358"/>
      <c r="C1103" s="1358"/>
      <c r="D1103" s="1358"/>
      <c r="E1103" s="1358" t="s">
        <v>1582</v>
      </c>
      <c r="F1103" s="1369"/>
      <c r="G1103" s="1369"/>
      <c r="H1103" s="1369"/>
      <c r="I1103" s="1369"/>
      <c r="J1103" s="1369"/>
      <c r="K1103" s="1369"/>
      <c r="L1103" s="1369"/>
      <c r="M1103" s="1369"/>
      <c r="N1103" s="1369"/>
      <c r="O1103" s="1369"/>
      <c r="P1103" s="1369"/>
      <c r="Q1103" s="1369"/>
      <c r="R1103" s="1360"/>
      <c r="S1103" s="1358" t="s">
        <v>40</v>
      </c>
      <c r="T1103" s="1361"/>
    </row>
    <row r="1104" spans="1:20" ht="11.25" hidden="1" customHeight="1" x14ac:dyDescent="0.35">
      <c r="A1104" s="319"/>
      <c r="B1104" s="1358"/>
      <c r="C1104" s="1358"/>
      <c r="D1104" s="1358"/>
      <c r="E1104" s="1358" t="s">
        <v>1583</v>
      </c>
      <c r="F1104" s="1369"/>
      <c r="G1104" s="1369"/>
      <c r="H1104" s="1369"/>
      <c r="I1104" s="1369"/>
      <c r="J1104" s="1369"/>
      <c r="K1104" s="1369"/>
      <c r="L1104" s="1369"/>
      <c r="M1104" s="1369"/>
      <c r="N1104" s="1369"/>
      <c r="O1104" s="1369"/>
      <c r="P1104" s="1369"/>
      <c r="Q1104" s="1369"/>
      <c r="R1104" s="1360"/>
      <c r="S1104" s="1358" t="s">
        <v>40</v>
      </c>
      <c r="T1104" s="1361"/>
    </row>
    <row r="1105" spans="1:20" ht="11.25" hidden="1" customHeight="1" x14ac:dyDescent="0.35">
      <c r="A1105" s="319"/>
      <c r="B1105" s="1358"/>
      <c r="C1105" s="1358"/>
      <c r="D1105" s="1358"/>
      <c r="E1105" s="1358" t="s">
        <v>1584</v>
      </c>
      <c r="F1105" s="1369"/>
      <c r="G1105" s="1369"/>
      <c r="H1105" s="1369"/>
      <c r="I1105" s="1369"/>
      <c r="J1105" s="1369"/>
      <c r="K1105" s="1369"/>
      <c r="L1105" s="1369"/>
      <c r="M1105" s="1369"/>
      <c r="N1105" s="1369"/>
      <c r="O1105" s="1369"/>
      <c r="P1105" s="1369"/>
      <c r="Q1105" s="1369"/>
      <c r="R1105" s="1360"/>
      <c r="S1105" s="1358" t="s">
        <v>40</v>
      </c>
      <c r="T1105" s="1361"/>
    </row>
    <row r="1106" spans="1:20" ht="11.25" hidden="1" customHeight="1" x14ac:dyDescent="0.35">
      <c r="A1106" s="319"/>
      <c r="B1106" s="1358"/>
      <c r="C1106" s="1358"/>
      <c r="D1106" s="1358"/>
      <c r="E1106" s="1358" t="s">
        <v>1585</v>
      </c>
      <c r="F1106" s="1369"/>
      <c r="G1106" s="1369"/>
      <c r="H1106" s="1369"/>
      <c r="I1106" s="1369"/>
      <c r="J1106" s="1369"/>
      <c r="K1106" s="1369"/>
      <c r="L1106" s="1369"/>
      <c r="M1106" s="1369"/>
      <c r="N1106" s="1369"/>
      <c r="O1106" s="1369"/>
      <c r="P1106" s="1369"/>
      <c r="Q1106" s="1369"/>
      <c r="R1106" s="1360"/>
      <c r="S1106" s="1358" t="s">
        <v>40</v>
      </c>
      <c r="T1106" s="1361"/>
    </row>
    <row r="1107" spans="1:20" ht="11.25" hidden="1" customHeight="1" x14ac:dyDescent="0.35">
      <c r="A1107" s="319"/>
      <c r="B1107" s="1358"/>
      <c r="C1107" s="1358"/>
      <c r="D1107" s="1372" t="s">
        <v>1586</v>
      </c>
      <c r="E1107" s="1358" t="s">
        <v>1587</v>
      </c>
      <c r="F1107" s="1369"/>
      <c r="G1107" s="1369">
        <f t="shared" ref="G1107:Q1107" si="794">G1133+G1135</f>
        <v>0</v>
      </c>
      <c r="H1107" s="1369">
        <f t="shared" si="794"/>
        <v>0</v>
      </c>
      <c r="I1107" s="1369">
        <f t="shared" si="794"/>
        <v>0</v>
      </c>
      <c r="J1107" s="1369">
        <f t="shared" si="794"/>
        <v>0</v>
      </c>
      <c r="K1107" s="1369">
        <f t="shared" si="794"/>
        <v>0</v>
      </c>
      <c r="L1107" s="1369">
        <f t="shared" si="794"/>
        <v>0</v>
      </c>
      <c r="M1107" s="1369">
        <f t="shared" ref="M1107:N1107" si="795">M1133+M1135</f>
        <v>0</v>
      </c>
      <c r="N1107" s="1369">
        <f t="shared" si="795"/>
        <v>0</v>
      </c>
      <c r="O1107" s="1369">
        <f t="shared" ref="O1107:P1107" si="796">O1133+O1135</f>
        <v>0</v>
      </c>
      <c r="P1107" s="1369">
        <f t="shared" si="796"/>
        <v>0</v>
      </c>
      <c r="Q1107" s="1369">
        <f t="shared" si="794"/>
        <v>0</v>
      </c>
      <c r="R1107" s="1360"/>
      <c r="S1107" s="1358" t="s">
        <v>40</v>
      </c>
      <c r="T1107" s="1361"/>
    </row>
    <row r="1108" spans="1:20" ht="11.25" hidden="1" customHeight="1" x14ac:dyDescent="0.35">
      <c r="A1108" s="319"/>
      <c r="B1108" s="1358"/>
      <c r="C1108" s="1358"/>
      <c r="D1108" s="1358"/>
      <c r="E1108" s="1358" t="s">
        <v>1588</v>
      </c>
      <c r="F1108" s="1369"/>
      <c r="G1108" s="1369"/>
      <c r="H1108" s="1369"/>
      <c r="I1108" s="1369"/>
      <c r="J1108" s="1369"/>
      <c r="K1108" s="1369"/>
      <c r="L1108" s="1369"/>
      <c r="M1108" s="1369"/>
      <c r="N1108" s="1369"/>
      <c r="O1108" s="1369"/>
      <c r="P1108" s="1369"/>
      <c r="Q1108" s="1369"/>
      <c r="R1108" s="1360"/>
      <c r="S1108" s="1358" t="s">
        <v>40</v>
      </c>
      <c r="T1108" s="1361"/>
    </row>
    <row r="1109" spans="1:20" ht="11.25" hidden="1" customHeight="1" x14ac:dyDescent="0.35">
      <c r="A1109" s="319"/>
      <c r="B1109" s="1358"/>
      <c r="C1109" s="1358"/>
      <c r="D1109" s="1358"/>
      <c r="E1109" s="1358" t="s">
        <v>1589</v>
      </c>
      <c r="F1109" s="1369"/>
      <c r="G1109" s="1369"/>
      <c r="H1109" s="1369"/>
      <c r="I1109" s="1369"/>
      <c r="J1109" s="1369"/>
      <c r="K1109" s="1369"/>
      <c r="L1109" s="1369"/>
      <c r="M1109" s="1369"/>
      <c r="N1109" s="1369"/>
      <c r="O1109" s="1369"/>
      <c r="P1109" s="1369"/>
      <c r="Q1109" s="1369"/>
      <c r="R1109" s="1360"/>
      <c r="S1109" s="1358" t="s">
        <v>40</v>
      </c>
      <c r="T1109" s="1361"/>
    </row>
    <row r="1110" spans="1:20" ht="11.25" hidden="1" customHeight="1" x14ac:dyDescent="0.35">
      <c r="A1110" s="319"/>
      <c r="B1110" s="1358"/>
      <c r="C1110" s="1358"/>
      <c r="D1110" s="1358"/>
      <c r="E1110" s="1358" t="s">
        <v>1590</v>
      </c>
      <c r="F1110" s="1369"/>
      <c r="G1110" s="1369"/>
      <c r="H1110" s="1369"/>
      <c r="I1110" s="1369"/>
      <c r="J1110" s="1369"/>
      <c r="K1110" s="1369"/>
      <c r="L1110" s="1369"/>
      <c r="M1110" s="1369"/>
      <c r="N1110" s="1369"/>
      <c r="O1110" s="1369"/>
      <c r="P1110" s="1369"/>
      <c r="Q1110" s="1369"/>
      <c r="R1110" s="1360"/>
      <c r="S1110" s="1358" t="s">
        <v>40</v>
      </c>
      <c r="T1110" s="1361"/>
    </row>
    <row r="1111" spans="1:20" ht="11.25" hidden="1" customHeight="1" x14ac:dyDescent="0.35">
      <c r="A1111" s="319"/>
      <c r="B1111" s="1358"/>
      <c r="C1111" s="1358"/>
      <c r="D1111" s="1358"/>
      <c r="E1111" s="1358" t="s">
        <v>1591</v>
      </c>
      <c r="F1111" s="1369"/>
      <c r="G1111" s="1369"/>
      <c r="H1111" s="1369"/>
      <c r="I1111" s="1369"/>
      <c r="J1111" s="1369"/>
      <c r="K1111" s="1369"/>
      <c r="L1111" s="1369"/>
      <c r="M1111" s="1369"/>
      <c r="N1111" s="1369"/>
      <c r="O1111" s="1369"/>
      <c r="P1111" s="1369"/>
      <c r="Q1111" s="1369"/>
      <c r="R1111" s="1360"/>
      <c r="S1111" s="1358" t="s">
        <v>40</v>
      </c>
      <c r="T1111" s="1361"/>
    </row>
    <row r="1112" spans="1:20" ht="11.25" hidden="1" customHeight="1" x14ac:dyDescent="0.35">
      <c r="A1112" s="319"/>
      <c r="B1112" s="1358"/>
      <c r="C1112" s="1358"/>
      <c r="D1112" s="1358"/>
      <c r="E1112" s="1358" t="s">
        <v>1592</v>
      </c>
      <c r="F1112" s="1369"/>
      <c r="G1112" s="1369"/>
      <c r="H1112" s="1369"/>
      <c r="I1112" s="1369"/>
      <c r="J1112" s="1369"/>
      <c r="K1112" s="1369"/>
      <c r="L1112" s="1369"/>
      <c r="M1112" s="1369"/>
      <c r="N1112" s="1369"/>
      <c r="O1112" s="1369"/>
      <c r="P1112" s="1369"/>
      <c r="Q1112" s="1369"/>
      <c r="R1112" s="1360"/>
      <c r="S1112" s="1358" t="s">
        <v>40</v>
      </c>
      <c r="T1112" s="1361"/>
    </row>
    <row r="1113" spans="1:20" ht="11.25" hidden="1" customHeight="1" x14ac:dyDescent="0.35">
      <c r="A1113" s="319"/>
      <c r="B1113" s="1358"/>
      <c r="C1113" s="1358"/>
      <c r="D1113" s="1358"/>
      <c r="E1113" s="1358" t="s">
        <v>1593</v>
      </c>
      <c r="F1113" s="1369"/>
      <c r="G1113" s="1369"/>
      <c r="H1113" s="1369"/>
      <c r="I1113" s="1369"/>
      <c r="J1113" s="1369"/>
      <c r="K1113" s="1369"/>
      <c r="L1113" s="1369"/>
      <c r="M1113" s="1369"/>
      <c r="N1113" s="1369"/>
      <c r="O1113" s="1369"/>
      <c r="P1113" s="1369"/>
      <c r="Q1113" s="1369"/>
      <c r="R1113" s="1360"/>
      <c r="S1113" s="1358" t="s">
        <v>40</v>
      </c>
      <c r="T1113" s="1361"/>
    </row>
    <row r="1114" spans="1:20" ht="11.25" hidden="1" customHeight="1" x14ac:dyDescent="0.35">
      <c r="A1114" s="319"/>
      <c r="B1114" s="1358"/>
      <c r="C1114" s="1358"/>
      <c r="D1114" s="1358"/>
      <c r="E1114" s="1358" t="s">
        <v>1594</v>
      </c>
      <c r="F1114" s="1369"/>
      <c r="G1114" s="1369"/>
      <c r="H1114" s="1369"/>
      <c r="I1114" s="1369"/>
      <c r="J1114" s="1369"/>
      <c r="K1114" s="1369"/>
      <c r="L1114" s="1369"/>
      <c r="M1114" s="1369"/>
      <c r="N1114" s="1369"/>
      <c r="O1114" s="1369"/>
      <c r="P1114" s="1369"/>
      <c r="Q1114" s="1369"/>
      <c r="R1114" s="1360"/>
      <c r="S1114" s="1358" t="s">
        <v>40</v>
      </c>
      <c r="T1114" s="1361"/>
    </row>
    <row r="1115" spans="1:20" ht="11.25" hidden="1" customHeight="1" x14ac:dyDescent="0.35">
      <c r="A1115" s="319"/>
      <c r="B1115" s="1358"/>
      <c r="C1115" s="1358"/>
      <c r="D1115" s="1358"/>
      <c r="E1115" s="1358" t="s">
        <v>1595</v>
      </c>
      <c r="F1115" s="1369"/>
      <c r="G1115" s="1369"/>
      <c r="H1115" s="1369"/>
      <c r="I1115" s="1369"/>
      <c r="J1115" s="1369"/>
      <c r="K1115" s="1369"/>
      <c r="L1115" s="1369"/>
      <c r="M1115" s="1369"/>
      <c r="N1115" s="1369"/>
      <c r="O1115" s="1369"/>
      <c r="P1115" s="1369"/>
      <c r="Q1115" s="1369"/>
      <c r="R1115" s="1360"/>
      <c r="S1115" s="1358" t="s">
        <v>40</v>
      </c>
      <c r="T1115" s="1361"/>
    </row>
    <row r="1116" spans="1:20" ht="11.25" hidden="1" customHeight="1" x14ac:dyDescent="0.35">
      <c r="A1116" s="319"/>
      <c r="B1116" s="1358"/>
      <c r="C1116" s="1358"/>
      <c r="D1116" s="1358"/>
      <c r="E1116" s="1358" t="s">
        <v>1596</v>
      </c>
      <c r="F1116" s="1369"/>
      <c r="G1116" s="1369"/>
      <c r="H1116" s="1369"/>
      <c r="I1116" s="1369"/>
      <c r="J1116" s="1369"/>
      <c r="K1116" s="1369"/>
      <c r="L1116" s="1369"/>
      <c r="M1116" s="1369"/>
      <c r="N1116" s="1369"/>
      <c r="O1116" s="1369"/>
      <c r="P1116" s="1369"/>
      <c r="Q1116" s="1369"/>
      <c r="R1116" s="1360"/>
      <c r="S1116" s="1358" t="s">
        <v>40</v>
      </c>
      <c r="T1116" s="1361"/>
    </row>
    <row r="1117" spans="1:20" ht="11.25" hidden="1" customHeight="1" x14ac:dyDescent="0.35">
      <c r="A1117" s="319"/>
      <c r="B1117" s="1358"/>
      <c r="C1117" s="1358"/>
      <c r="D1117" s="1358"/>
      <c r="E1117" s="1358" t="s">
        <v>1597</v>
      </c>
      <c r="F1117" s="1369"/>
      <c r="G1117" s="1369"/>
      <c r="H1117" s="1369"/>
      <c r="I1117" s="1369"/>
      <c r="J1117" s="1369"/>
      <c r="K1117" s="1369"/>
      <c r="L1117" s="1369"/>
      <c r="M1117" s="1369"/>
      <c r="N1117" s="1369"/>
      <c r="O1117" s="1369"/>
      <c r="P1117" s="1369"/>
      <c r="Q1117" s="1369"/>
      <c r="R1117" s="1360"/>
      <c r="S1117" s="1358" t="s">
        <v>40</v>
      </c>
      <c r="T1117" s="1361"/>
    </row>
    <row r="1118" spans="1:20" ht="11.25" hidden="1" customHeight="1" x14ac:dyDescent="0.35">
      <c r="A1118" s="319"/>
      <c r="B1118" s="1358"/>
      <c r="C1118" s="1358"/>
      <c r="D1118" s="1358"/>
      <c r="E1118" s="1358" t="s">
        <v>1598</v>
      </c>
      <c r="F1118" s="1369"/>
      <c r="G1118" s="1369"/>
      <c r="H1118" s="1369"/>
      <c r="I1118" s="1369"/>
      <c r="J1118" s="1369"/>
      <c r="K1118" s="1369"/>
      <c r="L1118" s="1369"/>
      <c r="M1118" s="1369"/>
      <c r="N1118" s="1369"/>
      <c r="O1118" s="1369"/>
      <c r="P1118" s="1369"/>
      <c r="Q1118" s="1369"/>
      <c r="R1118" s="1360"/>
      <c r="S1118" s="1358" t="s">
        <v>40</v>
      </c>
      <c r="T1118" s="1361"/>
    </row>
    <row r="1119" spans="1:20" ht="11.25" hidden="1" customHeight="1" x14ac:dyDescent="0.35">
      <c r="A1119" s="319"/>
      <c r="B1119" s="1358"/>
      <c r="C1119" s="1358"/>
      <c r="D1119" s="1358"/>
      <c r="E1119" s="1358" t="s">
        <v>1599</v>
      </c>
      <c r="F1119" s="1369"/>
      <c r="G1119" s="1369"/>
      <c r="H1119" s="1369"/>
      <c r="I1119" s="1369"/>
      <c r="J1119" s="1369"/>
      <c r="K1119" s="1369"/>
      <c r="L1119" s="1369"/>
      <c r="M1119" s="1369"/>
      <c r="N1119" s="1369"/>
      <c r="O1119" s="1369"/>
      <c r="P1119" s="1369"/>
      <c r="Q1119" s="1369"/>
      <c r="R1119" s="1360"/>
      <c r="S1119" s="1358" t="s">
        <v>40</v>
      </c>
      <c r="T1119" s="1361"/>
    </row>
    <row r="1120" spans="1:20" ht="11.25" hidden="1" customHeight="1" x14ac:dyDescent="0.35">
      <c r="A1120" s="319"/>
      <c r="B1120" s="1358"/>
      <c r="C1120" s="1358"/>
      <c r="D1120" s="1358"/>
      <c r="E1120" s="1358" t="s">
        <v>1600</v>
      </c>
      <c r="F1120" s="1369"/>
      <c r="G1120" s="1369"/>
      <c r="H1120" s="1369"/>
      <c r="I1120" s="1369"/>
      <c r="J1120" s="1369"/>
      <c r="K1120" s="1369"/>
      <c r="L1120" s="1369"/>
      <c r="M1120" s="1369"/>
      <c r="N1120" s="1369"/>
      <c r="O1120" s="1369"/>
      <c r="P1120" s="1369"/>
      <c r="Q1120" s="1369"/>
      <c r="R1120" s="1360"/>
      <c r="S1120" s="1358" t="s">
        <v>40</v>
      </c>
      <c r="T1120" s="1361"/>
    </row>
    <row r="1121" spans="1:20" ht="11.25" hidden="1" customHeight="1" x14ac:dyDescent="0.35">
      <c r="A1121" s="319"/>
      <c r="B1121" s="1358"/>
      <c r="C1121" s="1358"/>
      <c r="D1121" s="1358"/>
      <c r="E1121" s="1358" t="s">
        <v>1601</v>
      </c>
      <c r="F1121" s="1369"/>
      <c r="G1121" s="1369"/>
      <c r="H1121" s="1369"/>
      <c r="I1121" s="1369"/>
      <c r="J1121" s="1369"/>
      <c r="K1121" s="1369"/>
      <c r="L1121" s="1369"/>
      <c r="M1121" s="1369"/>
      <c r="N1121" s="1369"/>
      <c r="O1121" s="1369"/>
      <c r="P1121" s="1369"/>
      <c r="Q1121" s="1369"/>
      <c r="R1121" s="1360"/>
      <c r="S1121" s="1358" t="s">
        <v>40</v>
      </c>
      <c r="T1121" s="1361"/>
    </row>
    <row r="1122" spans="1:20" ht="11.25" hidden="1" customHeight="1" x14ac:dyDescent="0.35">
      <c r="A1122" s="319"/>
      <c r="B1122" s="1358"/>
      <c r="C1122" s="1358"/>
      <c r="D1122" s="1358"/>
      <c r="E1122" s="1358" t="s">
        <v>1602</v>
      </c>
      <c r="F1122" s="1369"/>
      <c r="G1122" s="1369"/>
      <c r="H1122" s="1369"/>
      <c r="I1122" s="1369"/>
      <c r="J1122" s="1369"/>
      <c r="K1122" s="1369"/>
      <c r="L1122" s="1369"/>
      <c r="M1122" s="1369"/>
      <c r="N1122" s="1369"/>
      <c r="O1122" s="1369"/>
      <c r="P1122" s="1369"/>
      <c r="Q1122" s="1369"/>
      <c r="R1122" s="1360"/>
      <c r="S1122" s="1358" t="s">
        <v>40</v>
      </c>
      <c r="T1122" s="1361"/>
    </row>
    <row r="1123" spans="1:20" ht="11.25" hidden="1" customHeight="1" x14ac:dyDescent="0.35">
      <c r="A1123" s="319"/>
      <c r="B1123" s="1358"/>
      <c r="C1123" s="1358"/>
      <c r="D1123" s="1358"/>
      <c r="E1123" s="1358" t="s">
        <v>1603</v>
      </c>
      <c r="F1123" s="1369"/>
      <c r="G1123" s="1369"/>
      <c r="H1123" s="1369"/>
      <c r="I1123" s="1369"/>
      <c r="J1123" s="1369"/>
      <c r="K1123" s="1369"/>
      <c r="L1123" s="1369"/>
      <c r="M1123" s="1369"/>
      <c r="N1123" s="1369"/>
      <c r="O1123" s="1369"/>
      <c r="P1123" s="1369"/>
      <c r="Q1123" s="1369"/>
      <c r="R1123" s="1360"/>
      <c r="S1123" s="1358" t="s">
        <v>40</v>
      </c>
      <c r="T1123" s="1361"/>
    </row>
    <row r="1124" spans="1:20" ht="11.25" hidden="1" customHeight="1" x14ac:dyDescent="0.35">
      <c r="A1124" s="319"/>
      <c r="B1124" s="1358"/>
      <c r="C1124" s="1358"/>
      <c r="D1124" s="1358"/>
      <c r="E1124" s="1358" t="s">
        <v>1604</v>
      </c>
      <c r="F1124" s="1369"/>
      <c r="G1124" s="1369"/>
      <c r="H1124" s="1369"/>
      <c r="I1124" s="1369"/>
      <c r="J1124" s="1369"/>
      <c r="K1124" s="1369"/>
      <c r="L1124" s="1369"/>
      <c r="M1124" s="1369"/>
      <c r="N1124" s="1369"/>
      <c r="O1124" s="1369"/>
      <c r="P1124" s="1369"/>
      <c r="Q1124" s="1369"/>
      <c r="R1124" s="1360"/>
      <c r="S1124" s="1358" t="s">
        <v>40</v>
      </c>
      <c r="T1124" s="1361"/>
    </row>
    <row r="1125" spans="1:20" ht="11.25" hidden="1" customHeight="1" x14ac:dyDescent="0.35">
      <c r="A1125" s="319"/>
      <c r="B1125" s="1358"/>
      <c r="C1125" s="1358"/>
      <c r="D1125" s="1358"/>
      <c r="E1125" s="1358" t="s">
        <v>1605</v>
      </c>
      <c r="F1125" s="1369"/>
      <c r="G1125" s="1369"/>
      <c r="H1125" s="1369"/>
      <c r="I1125" s="1369"/>
      <c r="J1125" s="1369"/>
      <c r="K1125" s="1369"/>
      <c r="L1125" s="1369"/>
      <c r="M1125" s="1369"/>
      <c r="N1125" s="1369"/>
      <c r="O1125" s="1369"/>
      <c r="P1125" s="1369"/>
      <c r="Q1125" s="1369"/>
      <c r="R1125" s="1360"/>
      <c r="S1125" s="1358" t="s">
        <v>40</v>
      </c>
      <c r="T1125" s="1361"/>
    </row>
    <row r="1126" spans="1:20" ht="11.25" hidden="1" customHeight="1" x14ac:dyDescent="0.35">
      <c r="A1126" s="319"/>
      <c r="B1126" s="1358"/>
      <c r="C1126" s="1358"/>
      <c r="D1126" s="1358"/>
      <c r="E1126" s="1358" t="s">
        <v>1606</v>
      </c>
      <c r="F1126" s="1369"/>
      <c r="G1126" s="1369"/>
      <c r="H1126" s="1369"/>
      <c r="I1126" s="1369"/>
      <c r="J1126" s="1369"/>
      <c r="K1126" s="1369"/>
      <c r="L1126" s="1369"/>
      <c r="M1126" s="1369"/>
      <c r="N1126" s="1369"/>
      <c r="O1126" s="1369"/>
      <c r="P1126" s="1369"/>
      <c r="Q1126" s="1369"/>
      <c r="R1126" s="1360"/>
      <c r="S1126" s="1358" t="s">
        <v>40</v>
      </c>
      <c r="T1126" s="1361"/>
    </row>
    <row r="1127" spans="1:20" ht="11.25" hidden="1" customHeight="1" x14ac:dyDescent="0.35">
      <c r="A1127" s="319"/>
      <c r="B1127" s="1358"/>
      <c r="C1127" s="1358"/>
      <c r="D1127" s="1358"/>
      <c r="E1127" s="1358" t="s">
        <v>1607</v>
      </c>
      <c r="F1127" s="1369"/>
      <c r="G1127" s="1369"/>
      <c r="H1127" s="1369"/>
      <c r="I1127" s="1369"/>
      <c r="J1127" s="1369"/>
      <c r="K1127" s="1369"/>
      <c r="L1127" s="1369"/>
      <c r="M1127" s="1369"/>
      <c r="N1127" s="1369"/>
      <c r="O1127" s="1369"/>
      <c r="P1127" s="1369"/>
      <c r="Q1127" s="1369"/>
      <c r="R1127" s="1360"/>
      <c r="S1127" s="1358" t="s">
        <v>40</v>
      </c>
      <c r="T1127" s="1361"/>
    </row>
    <row r="1128" spans="1:20" ht="11.25" hidden="1" customHeight="1" x14ac:dyDescent="0.35">
      <c r="A1128" s="319"/>
      <c r="B1128" s="1358"/>
      <c r="C1128" s="1358"/>
      <c r="D1128" s="1358" t="s">
        <v>1608</v>
      </c>
      <c r="E1128" s="1358" t="s">
        <v>1609</v>
      </c>
      <c r="F1128" s="1369"/>
      <c r="G1128" s="1369"/>
      <c r="H1128" s="1369"/>
      <c r="I1128" s="1369"/>
      <c r="J1128" s="1369"/>
      <c r="K1128" s="1369"/>
      <c r="L1128" s="1369"/>
      <c r="M1128" s="1369"/>
      <c r="N1128" s="1369"/>
      <c r="O1128" s="1369"/>
      <c r="P1128" s="1369"/>
      <c r="Q1128" s="1369"/>
      <c r="R1128" s="1360"/>
      <c r="S1128" s="1358" t="s">
        <v>40</v>
      </c>
      <c r="T1128" s="1361"/>
    </row>
    <row r="1129" spans="1:20" ht="11.25" hidden="1" customHeight="1" x14ac:dyDescent="0.35">
      <c r="A1129" s="319"/>
      <c r="B1129" s="1358"/>
      <c r="C1129" s="1358"/>
      <c r="D1129" s="1358" t="s">
        <v>1610</v>
      </c>
      <c r="E1129" s="1358" t="s">
        <v>1611</v>
      </c>
      <c r="F1129" s="1369"/>
      <c r="G1129" s="1369"/>
      <c r="H1129" s="1369"/>
      <c r="I1129" s="1369"/>
      <c r="J1129" s="1369"/>
      <c r="K1129" s="1369"/>
      <c r="L1129" s="1369"/>
      <c r="M1129" s="1369"/>
      <c r="N1129" s="1369"/>
      <c r="O1129" s="1369"/>
      <c r="P1129" s="1369"/>
      <c r="Q1129" s="1369"/>
      <c r="R1129" s="1360"/>
      <c r="S1129" s="1358" t="s">
        <v>40</v>
      </c>
      <c r="T1129" s="1361"/>
    </row>
    <row r="1130" spans="1:20" ht="11.25" hidden="1" customHeight="1" x14ac:dyDescent="0.35">
      <c r="A1130" s="319"/>
      <c r="B1130" s="1358"/>
      <c r="C1130" s="1358"/>
      <c r="D1130" s="1358"/>
      <c r="E1130" s="1358" t="s">
        <v>1612</v>
      </c>
      <c r="F1130" s="1369"/>
      <c r="G1130" s="1369"/>
      <c r="H1130" s="1369"/>
      <c r="I1130" s="1369"/>
      <c r="J1130" s="1369"/>
      <c r="K1130" s="1369"/>
      <c r="L1130" s="1369"/>
      <c r="M1130" s="1369"/>
      <c r="N1130" s="1369"/>
      <c r="O1130" s="1369"/>
      <c r="P1130" s="1369"/>
      <c r="Q1130" s="1369"/>
      <c r="R1130" s="1360"/>
      <c r="S1130" s="1358" t="s">
        <v>40</v>
      </c>
      <c r="T1130" s="1361"/>
    </row>
    <row r="1131" spans="1:20" ht="11.25" hidden="1" customHeight="1" x14ac:dyDescent="0.35">
      <c r="A1131" s="319"/>
      <c r="B1131" s="1358"/>
      <c r="C1131" s="1358"/>
      <c r="D1131" s="1358"/>
      <c r="E1131" s="1358" t="s">
        <v>1613</v>
      </c>
      <c r="F1131" s="1369"/>
      <c r="G1131" s="1369"/>
      <c r="H1131" s="1369"/>
      <c r="I1131" s="1369"/>
      <c r="J1131" s="1369"/>
      <c r="K1131" s="1369"/>
      <c r="L1131" s="1369"/>
      <c r="M1131" s="1369"/>
      <c r="N1131" s="1369"/>
      <c r="O1131" s="1369"/>
      <c r="P1131" s="1369"/>
      <c r="Q1131" s="1369"/>
      <c r="R1131" s="1360"/>
      <c r="S1131" s="1358" t="s">
        <v>40</v>
      </c>
      <c r="T1131" s="1361"/>
    </row>
    <row r="1132" spans="1:20" ht="11.25" hidden="1" customHeight="1" x14ac:dyDescent="0.35">
      <c r="A1132" s="319"/>
      <c r="B1132" s="1358"/>
      <c r="C1132" s="1358"/>
      <c r="D1132" s="1358"/>
      <c r="E1132" s="1358" t="s">
        <v>1614</v>
      </c>
      <c r="F1132" s="1369"/>
      <c r="G1132" s="1369"/>
      <c r="H1132" s="1369"/>
      <c r="I1132" s="1369"/>
      <c r="J1132" s="1369"/>
      <c r="K1132" s="1369"/>
      <c r="L1132" s="1369"/>
      <c r="M1132" s="1369"/>
      <c r="N1132" s="1369"/>
      <c r="O1132" s="1369"/>
      <c r="P1132" s="1369"/>
      <c r="Q1132" s="1369"/>
      <c r="R1132" s="1360"/>
      <c r="S1132" s="1358" t="s">
        <v>40</v>
      </c>
      <c r="T1132" s="1361"/>
    </row>
    <row r="1133" spans="1:20" ht="11.25" hidden="1" customHeight="1" x14ac:dyDescent="0.35">
      <c r="A1133" s="319"/>
      <c r="B1133" s="1358"/>
      <c r="C1133" s="1358"/>
      <c r="D1133" s="1358"/>
      <c r="E1133" s="1358" t="s">
        <v>1615</v>
      </c>
      <c r="F1133" s="1369"/>
      <c r="G1133" s="1369"/>
      <c r="H1133" s="1369"/>
      <c r="I1133" s="1369"/>
      <c r="J1133" s="1369"/>
      <c r="K1133" s="1369"/>
      <c r="L1133" s="1369"/>
      <c r="M1133" s="1369"/>
      <c r="N1133" s="1369"/>
      <c r="O1133" s="1369"/>
      <c r="P1133" s="1369"/>
      <c r="Q1133" s="1369"/>
      <c r="R1133" s="1360"/>
      <c r="S1133" s="1358" t="s">
        <v>40</v>
      </c>
      <c r="T1133" s="1361"/>
    </row>
    <row r="1134" spans="1:20" ht="11.25" hidden="1" customHeight="1" x14ac:dyDescent="0.35">
      <c r="A1134" s="319"/>
      <c r="B1134" s="1358"/>
      <c r="C1134" s="1358"/>
      <c r="D1134" s="1358" t="s">
        <v>1610</v>
      </c>
      <c r="E1134" s="1358" t="s">
        <v>1616</v>
      </c>
      <c r="F1134" s="1369"/>
      <c r="G1134" s="1369"/>
      <c r="H1134" s="1369"/>
      <c r="I1134" s="1369"/>
      <c r="J1134" s="1369"/>
      <c r="K1134" s="1369"/>
      <c r="L1134" s="1369"/>
      <c r="M1134" s="1369"/>
      <c r="N1134" s="1369"/>
      <c r="O1134" s="1369"/>
      <c r="P1134" s="1369"/>
      <c r="Q1134" s="1369"/>
      <c r="R1134" s="1360"/>
      <c r="S1134" s="1358" t="s">
        <v>40</v>
      </c>
      <c r="T1134" s="1361"/>
    </row>
    <row r="1135" spans="1:20" ht="11.25" hidden="1" customHeight="1" x14ac:dyDescent="0.35">
      <c r="A1135" s="319"/>
      <c r="B1135" s="1358"/>
      <c r="C1135" s="1358"/>
      <c r="D1135" s="1358"/>
      <c r="E1135" s="1358" t="s">
        <v>1617</v>
      </c>
      <c r="F1135" s="1369"/>
      <c r="G1135" s="1369"/>
      <c r="H1135" s="1369"/>
      <c r="I1135" s="1369"/>
      <c r="J1135" s="1369"/>
      <c r="K1135" s="1369"/>
      <c r="L1135" s="1369"/>
      <c r="M1135" s="1369"/>
      <c r="N1135" s="1369"/>
      <c r="O1135" s="1369"/>
      <c r="P1135" s="1369"/>
      <c r="Q1135" s="1369"/>
      <c r="R1135" s="1360"/>
      <c r="S1135" s="1358" t="s">
        <v>40</v>
      </c>
      <c r="T1135" s="1361"/>
    </row>
    <row r="1136" spans="1:20" ht="11.25" hidden="1" customHeight="1" x14ac:dyDescent="0.35">
      <c r="A1136" s="319"/>
      <c r="B1136" s="1358"/>
      <c r="C1136" s="1358"/>
      <c r="D1136" s="1358"/>
      <c r="E1136" s="1358" t="s">
        <v>1618</v>
      </c>
      <c r="F1136" s="1369"/>
      <c r="G1136" s="1369"/>
      <c r="H1136" s="1369"/>
      <c r="I1136" s="1369"/>
      <c r="J1136" s="1369"/>
      <c r="K1136" s="1369"/>
      <c r="L1136" s="1369"/>
      <c r="M1136" s="1369"/>
      <c r="N1136" s="1369"/>
      <c r="O1136" s="1369"/>
      <c r="P1136" s="1369"/>
      <c r="Q1136" s="1369"/>
      <c r="R1136" s="1360"/>
      <c r="S1136" s="1358" t="s">
        <v>40</v>
      </c>
      <c r="T1136" s="1361"/>
    </row>
    <row r="1137" spans="1:20" ht="11.25" hidden="1" customHeight="1" x14ac:dyDescent="0.35">
      <c r="A1137" s="319"/>
      <c r="B1137" s="1358"/>
      <c r="C1137" s="1358"/>
      <c r="D1137" s="1358"/>
      <c r="E1137" s="1358" t="s">
        <v>1619</v>
      </c>
      <c r="F1137" s="1369"/>
      <c r="G1137" s="1369"/>
      <c r="H1137" s="1369"/>
      <c r="I1137" s="1369"/>
      <c r="J1137" s="1369"/>
      <c r="K1137" s="1369"/>
      <c r="L1137" s="1369"/>
      <c r="M1137" s="1369"/>
      <c r="N1137" s="1369"/>
      <c r="O1137" s="1369"/>
      <c r="P1137" s="1369"/>
      <c r="Q1137" s="1369"/>
      <c r="R1137" s="1360"/>
      <c r="S1137" s="1358" t="s">
        <v>40</v>
      </c>
      <c r="T1137" s="1361"/>
    </row>
    <row r="1138" spans="1:20" ht="11.25" hidden="1" customHeight="1" x14ac:dyDescent="0.35">
      <c r="A1138" s="319"/>
      <c r="B1138" s="1358"/>
      <c r="C1138" s="1358"/>
      <c r="D1138" s="1358"/>
      <c r="E1138" s="1358" t="s">
        <v>1620</v>
      </c>
      <c r="F1138" s="1369"/>
      <c r="G1138" s="1369"/>
      <c r="H1138" s="1369"/>
      <c r="I1138" s="1369"/>
      <c r="J1138" s="1369"/>
      <c r="K1138" s="1369"/>
      <c r="L1138" s="1369"/>
      <c r="M1138" s="1369"/>
      <c r="N1138" s="1369"/>
      <c r="O1138" s="1369"/>
      <c r="P1138" s="1369"/>
      <c r="Q1138" s="1369"/>
      <c r="R1138" s="1360"/>
      <c r="S1138" s="1358" t="s">
        <v>40</v>
      </c>
      <c r="T1138" s="1361"/>
    </row>
    <row r="1139" spans="1:20" ht="11.25" hidden="1" customHeight="1" x14ac:dyDescent="0.35">
      <c r="A1139" s="319"/>
      <c r="B1139" s="1358"/>
      <c r="C1139" s="1358" t="s">
        <v>1621</v>
      </c>
      <c r="D1139" s="1358" t="s">
        <v>1391</v>
      </c>
      <c r="E1139" s="1358" t="s">
        <v>1622</v>
      </c>
      <c r="F1139" s="1369"/>
      <c r="G1139" s="1369">
        <f t="shared" ref="G1139:Q1139" ca="1" si="797">IF(MID($S$721,7,1)&lt;&gt;"D",OFFSET($E$721,0,G$8),0)+IF(MID($S$725,7,1)&lt;&gt;"D",OFFSET($E$725,0,G$8),0)+IF(MID($S$729,7,1)&lt;&gt;"D",OFFSET($E$729,0,G$8),0)+IF(MID($S$733,7,1)&lt;&gt;"D",OFFSET($E$733,0,G$8),0)+IF(MID($S$738,7,1)&lt;&gt;"D",OFFSET($E$738,0,G$8),0)+IF(MID($S$742,7,1)&lt;&gt;"D",OFFSET($E$742,0,G$8),0)+IF(MID($S$746,7,1)&lt;&gt;"D",OFFSET($E$746,0,G$8),0)+IF(MID($S$750,7,1)&lt;&gt;"D",OFFSET($E$750,0,G$8),0)+IF(MID($S$754,7,1)&lt;&gt;"D",OFFSET($E$754,0,G$8),0)+IF(MID($S$759,7,1)&lt;&gt;"D",OFFSET($E$759,0,G$8),0)+IF(MID($S$763,7,1)&lt;&gt;"D",OFFSET($E$763,0,G$8),0)+IF(MID($S$767,7,1)&lt;&gt;"D",OFFSET($E$767,0,G$8),0)+IF(MID($S$771,7,1)&lt;&gt;"D",OFFSET($E$771,0,G$8),0)</f>
        <v>0</v>
      </c>
      <c r="H1139" s="1369">
        <f t="shared" ca="1" si="797"/>
        <v>0</v>
      </c>
      <c r="I1139" s="1369">
        <f t="shared" ca="1" si="797"/>
        <v>0</v>
      </c>
      <c r="J1139" s="1369">
        <f t="shared" ca="1" si="797"/>
        <v>0</v>
      </c>
      <c r="K1139" s="1369">
        <f t="shared" ca="1" si="797"/>
        <v>0</v>
      </c>
      <c r="L1139" s="1369">
        <f t="shared" ca="1" si="797"/>
        <v>0</v>
      </c>
      <c r="M1139" s="1369">
        <f t="shared" ca="1" si="797"/>
        <v>0</v>
      </c>
      <c r="N1139" s="1369">
        <f t="shared" ca="1" si="797"/>
        <v>0</v>
      </c>
      <c r="O1139" s="1369">
        <f t="shared" ca="1" si="797"/>
        <v>0</v>
      </c>
      <c r="P1139" s="1369">
        <f t="shared" ca="1" si="797"/>
        <v>0</v>
      </c>
      <c r="Q1139" s="1369">
        <f t="shared" ca="1" si="797"/>
        <v>0</v>
      </c>
      <c r="R1139" s="1360"/>
      <c r="S1139" s="1358" t="s">
        <v>40</v>
      </c>
      <c r="T1139" s="1361"/>
    </row>
    <row r="1140" spans="1:20" ht="11.25" hidden="1" customHeight="1" x14ac:dyDescent="0.35">
      <c r="A1140" s="319"/>
      <c r="B1140" s="1358"/>
      <c r="C1140" s="1358" t="s">
        <v>1623</v>
      </c>
      <c r="D1140" s="1358"/>
      <c r="E1140" s="1358" t="s">
        <v>1624</v>
      </c>
      <c r="F1140" s="1369"/>
      <c r="G1140" s="1369">
        <f t="shared" ref="G1140:Q1140" ca="1" si="798">IF(MID($S$721,7,1)="D",OFFSET($E$721,0,G$8),0)+IF(MID($S$725,7,1)="D",OFFSET($E$725,0,G$8),0)+IF(MID($S$729,7,1)="D",OFFSET($E$729,0,G$8),0)+IF(MID($S$733,7,1)="D",OFFSET($E$733,0,G$8),0)+IF(MID($S$738,7,1)="D",OFFSET($E$738,0,G$8),0)+IF(MID($S$742,7,1)="D",OFFSET($E$742,0,G$8),0)+IF(MID($S$746,7,1)="D",OFFSET($E$746,0,G$8),0)+IF(MID($S$750,7,1)="D",OFFSET($E$750,0,G$8),0)+IF(MID($S$754,7,1)="D",OFFSET($E$754,0,G$8),0)+IF(MID($S$759,7,1)="D",OFFSET($E$759,0,G$8),0)+IF(MID($S$763,7,1)="D",OFFSET($E$763,0,G$8),0)+IF(MID($S$767,7,1)="D",OFFSET($E$767,0,G$8),0)+IF(MID($S$771,7,1)="D",OFFSET($E$771,0,G$8),0)</f>
        <v>0</v>
      </c>
      <c r="H1140" s="1369">
        <f t="shared" ca="1" si="798"/>
        <v>0</v>
      </c>
      <c r="I1140" s="1369">
        <f t="shared" ca="1" si="798"/>
        <v>0</v>
      </c>
      <c r="J1140" s="1369">
        <f t="shared" ca="1" si="798"/>
        <v>0</v>
      </c>
      <c r="K1140" s="1369">
        <f t="shared" ca="1" si="798"/>
        <v>0</v>
      </c>
      <c r="L1140" s="1369">
        <f t="shared" ca="1" si="798"/>
        <v>0</v>
      </c>
      <c r="M1140" s="1369">
        <f t="shared" ca="1" si="798"/>
        <v>0</v>
      </c>
      <c r="N1140" s="1369">
        <f t="shared" ca="1" si="798"/>
        <v>0</v>
      </c>
      <c r="O1140" s="1369">
        <f t="shared" ca="1" si="798"/>
        <v>0</v>
      </c>
      <c r="P1140" s="1369">
        <f t="shared" ca="1" si="798"/>
        <v>0</v>
      </c>
      <c r="Q1140" s="1369">
        <f t="shared" ca="1" si="798"/>
        <v>0</v>
      </c>
      <c r="R1140" s="1360"/>
      <c r="S1140" s="1358" t="s">
        <v>40</v>
      </c>
      <c r="T1140" s="1361"/>
    </row>
    <row r="1141" spans="1:20" ht="11.25" hidden="1" customHeight="1" x14ac:dyDescent="0.35">
      <c r="A1141" s="319"/>
      <c r="B1141" s="1358"/>
      <c r="C1141" s="1358" t="s">
        <v>1625</v>
      </c>
      <c r="D1141" s="1358"/>
      <c r="E1141" s="1358" t="s">
        <v>1626</v>
      </c>
      <c r="F1141" s="1369"/>
      <c r="G1141" s="1369">
        <f t="shared" ref="G1141:Q1141" ca="1" si="799">IF(MID($S$463,7,1)&lt;&gt;"D",OFFSET($E$463,0,G$8),0)+IF(MID($S$465,7,1)&lt;&gt;"D",OFFSET($E$465,0,G$8),0)+IF(MID($S$466,7,1)&lt;&gt;"D",OFFSET($E$466,0,G$8),0)+IF(MID($S$467,7,1)&lt;&gt;"D",OFFSET($E$467,0,G$8),0)+IF(MID($S$468,7,1)&lt;&gt;"D",OFFSET($E$468,0,G$8),0)+IF(MID($S$469,7,1)&lt;&gt;"D",OFFSET($E$469,0,G$8),0)+IF(MID($S$470,7,1)&lt;&gt;"D",OFFSET($E$470,0,G$8),0)+IF(MID($S$471,7,1)&lt;&gt;"D",OFFSET($E$471,0,G$8),0)+IF(MID($S$477,7,1)&lt;&gt;"D",OFFSET($E$477,0,G$8),0)+IF(MID($S$478,7,1)&lt;&gt;"D",OFFSET($E$478,0,G$8),0)+IF(MID($S$479,7,1)&lt;&gt;"D",OFFSET($E$479,0,G$8),0)+IF(MID($S$480,7,1)&lt;&gt;"D",OFFSET($E$480,0,G$8),0)+IF(MID($S$481,7,1)&lt;&gt;"D",OFFSET($E$481,0,G$8),0)+IF(MID($S$482,7,1)&lt;&gt;"D",OFFSET($E$482,0,G$8),0)+OFFSET($E$914,0,G$8)+IF(MID($S$483,7,1)&lt;&gt;"D",OFFSET($E$483,0,G$8),0)+IF(MID($S$484,7,1)&lt;&gt;"D",OFFSET($E$484,0,G$8),0)+IF(MID($S$485,7,1)&lt;&gt;"D",OFFSET($E$485,0,G$8),0)+OFFSET($E$924,0,G$8)+IF(MID($S$503,7,1)&lt;&gt;"D",MIN(0,OFFSET($E$503,0,G$8)),0)+IF(MID($S$505,7,1)&lt;&gt;"D",OFFSET($E$505,0,G$8),0)+IF(MID($S$486,7,1)&lt;&gt;"D",OFFSET($E$486,0,G$8),0)</f>
        <v>0</v>
      </c>
      <c r="H1141" s="1369">
        <f t="shared" ca="1" si="799"/>
        <v>-200000</v>
      </c>
      <c r="I1141" s="1369">
        <f t="shared" ca="1" si="799"/>
        <v>-200000</v>
      </c>
      <c r="J1141" s="1369">
        <f t="shared" ca="1" si="799"/>
        <v>-200000</v>
      </c>
      <c r="K1141" s="1369">
        <f t="shared" ca="1" si="799"/>
        <v>-200000</v>
      </c>
      <c r="L1141" s="1369">
        <f t="shared" ca="1" si="799"/>
        <v>-2400000</v>
      </c>
      <c r="M1141" s="1369">
        <f t="shared" ca="1" si="799"/>
        <v>-2400000</v>
      </c>
      <c r="N1141" s="1369">
        <f t="shared" ca="1" si="799"/>
        <v>-2400000</v>
      </c>
      <c r="O1141" s="1369">
        <f t="shared" ca="1" si="799"/>
        <v>-2400000</v>
      </c>
      <c r="P1141" s="1369">
        <f t="shared" ca="1" si="799"/>
        <v>-2400000</v>
      </c>
      <c r="Q1141" s="1369">
        <f t="shared" ca="1" si="799"/>
        <v>0</v>
      </c>
      <c r="R1141" s="1360"/>
      <c r="S1141" s="1358" t="s">
        <v>40</v>
      </c>
      <c r="T1141" s="1361"/>
    </row>
    <row r="1142" spans="1:20" ht="11.25" hidden="1" customHeight="1" x14ac:dyDescent="0.35">
      <c r="A1142" s="319"/>
      <c r="B1142" s="1358"/>
      <c r="C1142" s="1358"/>
      <c r="D1142" s="1358"/>
      <c r="E1142" s="1358" t="s">
        <v>1627</v>
      </c>
      <c r="F1142" s="1369"/>
      <c r="G1142" s="1369"/>
      <c r="H1142" s="1369"/>
      <c r="I1142" s="1369"/>
      <c r="J1142" s="1369"/>
      <c r="K1142" s="1369"/>
      <c r="L1142" s="1369"/>
      <c r="M1142" s="1369"/>
      <c r="N1142" s="1369"/>
      <c r="O1142" s="1369"/>
      <c r="P1142" s="1369"/>
      <c r="Q1142" s="1369"/>
      <c r="R1142" s="1360"/>
      <c r="S1142" s="1358" t="s">
        <v>40</v>
      </c>
      <c r="T1142" s="1361"/>
    </row>
    <row r="1143" spans="1:20" ht="11.25" hidden="1" customHeight="1" x14ac:dyDescent="0.35">
      <c r="A1143" s="319"/>
      <c r="B1143" s="1358"/>
      <c r="C1143" s="1358"/>
      <c r="D1143" s="1358"/>
      <c r="E1143" s="1358" t="s">
        <v>1628</v>
      </c>
      <c r="F1143" s="1369"/>
      <c r="G1143" s="1369"/>
      <c r="H1143" s="1369"/>
      <c r="I1143" s="1369"/>
      <c r="J1143" s="1369"/>
      <c r="K1143" s="1369"/>
      <c r="L1143" s="1369"/>
      <c r="M1143" s="1369"/>
      <c r="N1143" s="1369"/>
      <c r="O1143" s="1369"/>
      <c r="P1143" s="1369"/>
      <c r="Q1143" s="1369"/>
      <c r="R1143" s="1360"/>
      <c r="S1143" s="1358" t="s">
        <v>40</v>
      </c>
      <c r="T1143" s="1361"/>
    </row>
    <row r="1144" spans="1:20" ht="11.25" hidden="1" customHeight="1" x14ac:dyDescent="0.35">
      <c r="A1144" s="319"/>
      <c r="B1144" s="1358"/>
      <c r="C1144" s="1358"/>
      <c r="D1144" s="1358"/>
      <c r="E1144" s="1358" t="s">
        <v>1629</v>
      </c>
      <c r="F1144" s="1369"/>
      <c r="G1144" s="1369"/>
      <c r="H1144" s="1369"/>
      <c r="I1144" s="1369"/>
      <c r="J1144" s="1369"/>
      <c r="K1144" s="1369"/>
      <c r="L1144" s="1369"/>
      <c r="M1144" s="1369"/>
      <c r="N1144" s="1369"/>
      <c r="O1144" s="1369"/>
      <c r="P1144" s="1369"/>
      <c r="Q1144" s="1369"/>
      <c r="R1144" s="1360"/>
      <c r="S1144" s="1358" t="s">
        <v>40</v>
      </c>
      <c r="T1144" s="1361"/>
    </row>
    <row r="1145" spans="1:20" ht="11.25" hidden="1" customHeight="1" x14ac:dyDescent="0.35">
      <c r="A1145" s="319"/>
      <c r="B1145" s="1358"/>
      <c r="C1145" s="1358"/>
      <c r="D1145" s="1358"/>
      <c r="E1145" s="1358" t="s">
        <v>1630</v>
      </c>
      <c r="F1145" s="1369"/>
      <c r="G1145" s="1369"/>
      <c r="H1145" s="1369"/>
      <c r="I1145" s="1369"/>
      <c r="J1145" s="1369"/>
      <c r="K1145" s="1369"/>
      <c r="L1145" s="1369"/>
      <c r="M1145" s="1369"/>
      <c r="N1145" s="1369"/>
      <c r="O1145" s="1369"/>
      <c r="P1145" s="1369"/>
      <c r="Q1145" s="1369"/>
      <c r="R1145" s="1360"/>
      <c r="S1145" s="1358" t="s">
        <v>40</v>
      </c>
      <c r="T1145" s="1361"/>
    </row>
    <row r="1146" spans="1:20" ht="11.25" hidden="1" customHeight="1" x14ac:dyDescent="0.35">
      <c r="A1146" s="319"/>
      <c r="B1146" s="1358"/>
      <c r="C1146" s="1358"/>
      <c r="D1146" s="1358"/>
      <c r="E1146" s="1358" t="s">
        <v>1631</v>
      </c>
      <c r="F1146" s="1369"/>
      <c r="G1146" s="1369"/>
      <c r="H1146" s="1369"/>
      <c r="I1146" s="1369"/>
      <c r="J1146" s="1369"/>
      <c r="K1146" s="1369"/>
      <c r="L1146" s="1369"/>
      <c r="M1146" s="1369"/>
      <c r="N1146" s="1369"/>
      <c r="O1146" s="1369"/>
      <c r="P1146" s="1369"/>
      <c r="Q1146" s="1369"/>
      <c r="R1146" s="1360"/>
      <c r="S1146" s="1358" t="s">
        <v>40</v>
      </c>
      <c r="T1146" s="1361"/>
    </row>
    <row r="1147" spans="1:20" ht="11.25" hidden="1" customHeight="1" x14ac:dyDescent="0.35">
      <c r="A1147" s="319"/>
      <c r="B1147" s="1358"/>
      <c r="C1147" s="1358"/>
      <c r="D1147" s="1358"/>
      <c r="E1147" s="1358" t="s">
        <v>1632</v>
      </c>
      <c r="F1147" s="1369"/>
      <c r="G1147" s="1369"/>
      <c r="H1147" s="1369"/>
      <c r="I1147" s="1369"/>
      <c r="J1147" s="1369"/>
      <c r="K1147" s="1369"/>
      <c r="L1147" s="1369"/>
      <c r="M1147" s="1369"/>
      <c r="N1147" s="1369"/>
      <c r="O1147" s="1369"/>
      <c r="P1147" s="1369"/>
      <c r="Q1147" s="1369"/>
      <c r="R1147" s="1360"/>
      <c r="S1147" s="1358" t="s">
        <v>40</v>
      </c>
      <c r="T1147" s="1361"/>
    </row>
    <row r="1148" spans="1:20" ht="11.25" hidden="1" customHeight="1" x14ac:dyDescent="0.35">
      <c r="A1148" s="319"/>
      <c r="B1148" s="1358"/>
      <c r="C1148" s="1358"/>
      <c r="D1148" s="1358"/>
      <c r="E1148" s="1358" t="s">
        <v>1633</v>
      </c>
      <c r="F1148" s="1369"/>
      <c r="G1148" s="1369"/>
      <c r="H1148" s="1369"/>
      <c r="I1148" s="1369"/>
      <c r="J1148" s="1369"/>
      <c r="K1148" s="1369"/>
      <c r="L1148" s="1369"/>
      <c r="M1148" s="1369"/>
      <c r="N1148" s="1369"/>
      <c r="O1148" s="1369"/>
      <c r="P1148" s="1369"/>
      <c r="Q1148" s="1369"/>
      <c r="R1148" s="1360"/>
      <c r="S1148" s="1358" t="s">
        <v>40</v>
      </c>
      <c r="T1148" s="1361"/>
    </row>
    <row r="1149" spans="1:20" ht="11.25" hidden="1" customHeight="1" x14ac:dyDescent="0.35">
      <c r="A1149" s="319"/>
      <c r="B1149" s="1358"/>
      <c r="C1149" s="1358"/>
      <c r="D1149" s="1358"/>
      <c r="E1149" s="1358" t="s">
        <v>1634</v>
      </c>
      <c r="F1149" s="1369"/>
      <c r="G1149" s="1369"/>
      <c r="H1149" s="1369"/>
      <c r="I1149" s="1369"/>
      <c r="J1149" s="1369"/>
      <c r="K1149" s="1369"/>
      <c r="L1149" s="1369"/>
      <c r="M1149" s="1369"/>
      <c r="N1149" s="1369"/>
      <c r="O1149" s="1369"/>
      <c r="P1149" s="1369"/>
      <c r="Q1149" s="1369"/>
      <c r="R1149" s="1360"/>
      <c r="S1149" s="1358" t="s">
        <v>40</v>
      </c>
      <c r="T1149" s="1361"/>
    </row>
    <row r="1150" spans="1:20" ht="11.25" hidden="1" customHeight="1" x14ac:dyDescent="0.35">
      <c r="A1150" s="319"/>
      <c r="B1150" s="1358"/>
      <c r="C1150" s="1358"/>
      <c r="D1150" s="1358"/>
      <c r="E1150" s="1358" t="s">
        <v>1635</v>
      </c>
      <c r="F1150" s="1369"/>
      <c r="G1150" s="1369"/>
      <c r="H1150" s="1369"/>
      <c r="I1150" s="1369"/>
      <c r="J1150" s="1369"/>
      <c r="K1150" s="1369"/>
      <c r="L1150" s="1369"/>
      <c r="M1150" s="1369"/>
      <c r="N1150" s="1369"/>
      <c r="O1150" s="1369"/>
      <c r="P1150" s="1369"/>
      <c r="Q1150" s="1369"/>
      <c r="R1150" s="1360"/>
      <c r="S1150" s="1358" t="s">
        <v>40</v>
      </c>
      <c r="T1150" s="1361"/>
    </row>
    <row r="1151" spans="1:20" ht="11.25" hidden="1" customHeight="1" x14ac:dyDescent="0.35">
      <c r="A1151" s="319"/>
      <c r="B1151" s="1358"/>
      <c r="C1151" s="1358"/>
      <c r="D1151" s="1358"/>
      <c r="E1151" s="1358" t="s">
        <v>1636</v>
      </c>
      <c r="F1151" s="1369"/>
      <c r="G1151" s="1369"/>
      <c r="H1151" s="1369"/>
      <c r="I1151" s="1369"/>
      <c r="J1151" s="1369"/>
      <c r="K1151" s="1369"/>
      <c r="L1151" s="1369"/>
      <c r="M1151" s="1369"/>
      <c r="N1151" s="1369"/>
      <c r="O1151" s="1369"/>
      <c r="P1151" s="1369"/>
      <c r="Q1151" s="1369"/>
      <c r="R1151" s="1360"/>
      <c r="S1151" s="1358" t="s">
        <v>40</v>
      </c>
      <c r="T1151" s="1361"/>
    </row>
    <row r="1152" spans="1:20" ht="11.25" hidden="1" customHeight="1" x14ac:dyDescent="0.35">
      <c r="A1152" s="319"/>
      <c r="B1152" s="1358"/>
      <c r="C1152" s="1358"/>
      <c r="D1152" s="1358"/>
      <c r="E1152" s="1358" t="s">
        <v>1637</v>
      </c>
      <c r="F1152" s="1369"/>
      <c r="G1152" s="1369"/>
      <c r="H1152" s="1369"/>
      <c r="I1152" s="1369"/>
      <c r="J1152" s="1369"/>
      <c r="K1152" s="1369"/>
      <c r="L1152" s="1369"/>
      <c r="M1152" s="1369"/>
      <c r="N1152" s="1369"/>
      <c r="O1152" s="1369"/>
      <c r="P1152" s="1369"/>
      <c r="Q1152" s="1369"/>
      <c r="R1152" s="1360"/>
      <c r="S1152" s="1358" t="s">
        <v>40</v>
      </c>
      <c r="T1152" s="1361"/>
    </row>
    <row r="1153" spans="1:20" ht="11.25" hidden="1" customHeight="1" x14ac:dyDescent="0.35">
      <c r="A1153" s="319"/>
      <c r="B1153" s="1358"/>
      <c r="C1153" s="1358"/>
      <c r="D1153" s="1358"/>
      <c r="E1153" s="1358" t="s">
        <v>1638</v>
      </c>
      <c r="F1153" s="1369"/>
      <c r="G1153" s="1369"/>
      <c r="H1153" s="1369"/>
      <c r="I1153" s="1369"/>
      <c r="J1153" s="1369"/>
      <c r="K1153" s="1369"/>
      <c r="L1153" s="1369"/>
      <c r="M1153" s="1369"/>
      <c r="N1153" s="1369"/>
      <c r="O1153" s="1369"/>
      <c r="P1153" s="1369"/>
      <c r="Q1153" s="1369"/>
      <c r="R1153" s="1360"/>
      <c r="S1153" s="1358" t="s">
        <v>40</v>
      </c>
      <c r="T1153" s="1361"/>
    </row>
    <row r="1154" spans="1:20" ht="11.25" hidden="1" customHeight="1" x14ac:dyDescent="0.35">
      <c r="A1154" s="319"/>
      <c r="B1154" s="1358"/>
      <c r="C1154" s="1358"/>
      <c r="D1154" s="1358"/>
      <c r="E1154" s="1358" t="s">
        <v>1639</v>
      </c>
      <c r="F1154" s="1369"/>
      <c r="G1154" s="1369"/>
      <c r="H1154" s="1369"/>
      <c r="I1154" s="1369"/>
      <c r="J1154" s="1369"/>
      <c r="K1154" s="1369"/>
      <c r="L1154" s="1369"/>
      <c r="M1154" s="1369"/>
      <c r="N1154" s="1369"/>
      <c r="O1154" s="1369"/>
      <c r="P1154" s="1369"/>
      <c r="Q1154" s="1369"/>
      <c r="R1154" s="1360"/>
      <c r="S1154" s="1358" t="s">
        <v>40</v>
      </c>
      <c r="T1154" s="1361"/>
    </row>
    <row r="1155" spans="1:20" ht="11.25" hidden="1" customHeight="1" x14ac:dyDescent="0.35">
      <c r="A1155" s="319"/>
      <c r="B1155" s="1358"/>
      <c r="C1155" s="1358"/>
      <c r="D1155" s="1358"/>
      <c r="E1155" s="1358" t="s">
        <v>1640</v>
      </c>
      <c r="F1155" s="1369"/>
      <c r="G1155" s="1369"/>
      <c r="H1155" s="1369"/>
      <c r="I1155" s="1369"/>
      <c r="J1155" s="1369"/>
      <c r="K1155" s="1369"/>
      <c r="L1155" s="1369"/>
      <c r="M1155" s="1369"/>
      <c r="N1155" s="1369"/>
      <c r="O1155" s="1369"/>
      <c r="P1155" s="1369"/>
      <c r="Q1155" s="1369"/>
      <c r="R1155" s="1360"/>
      <c r="S1155" s="1358" t="s">
        <v>40</v>
      </c>
      <c r="T1155" s="1361"/>
    </row>
    <row r="1156" spans="1:20" ht="11.25" hidden="1" customHeight="1" x14ac:dyDescent="0.35">
      <c r="A1156" s="319"/>
      <c r="B1156" s="1358"/>
      <c r="C1156" s="1358"/>
      <c r="D1156" s="1358"/>
      <c r="E1156" s="1358" t="s">
        <v>1641</v>
      </c>
      <c r="F1156" s="1369"/>
      <c r="G1156" s="1369"/>
      <c r="H1156" s="1369"/>
      <c r="I1156" s="1369"/>
      <c r="J1156" s="1369"/>
      <c r="K1156" s="1369"/>
      <c r="L1156" s="1369"/>
      <c r="M1156" s="1369"/>
      <c r="N1156" s="1369"/>
      <c r="O1156" s="1369"/>
      <c r="P1156" s="1369"/>
      <c r="Q1156" s="1369"/>
      <c r="R1156" s="1360"/>
      <c r="S1156" s="1358" t="s">
        <v>40</v>
      </c>
      <c r="T1156" s="1361"/>
    </row>
    <row r="1157" spans="1:20" ht="11.25" hidden="1" customHeight="1" x14ac:dyDescent="0.35">
      <c r="A1157" s="319"/>
      <c r="B1157" s="1358"/>
      <c r="C1157" s="1358"/>
      <c r="D1157" s="1358"/>
      <c r="E1157" s="1358" t="s">
        <v>1642</v>
      </c>
      <c r="F1157" s="1369"/>
      <c r="G1157" s="1369"/>
      <c r="H1157" s="1369"/>
      <c r="I1157" s="1369"/>
      <c r="J1157" s="1369"/>
      <c r="K1157" s="1369"/>
      <c r="L1157" s="1369"/>
      <c r="M1157" s="1369"/>
      <c r="N1157" s="1369"/>
      <c r="O1157" s="1369"/>
      <c r="P1157" s="1369"/>
      <c r="Q1157" s="1369"/>
      <c r="R1157" s="1360"/>
      <c r="S1157" s="1358" t="s">
        <v>40</v>
      </c>
      <c r="T1157" s="1361"/>
    </row>
    <row r="1158" spans="1:20" ht="11.25" hidden="1" customHeight="1" x14ac:dyDescent="0.35">
      <c r="A1158" s="319"/>
      <c r="B1158" s="1358"/>
      <c r="C1158" s="1358"/>
      <c r="D1158" s="1358"/>
      <c r="E1158" s="1358" t="s">
        <v>1643</v>
      </c>
      <c r="F1158" s="1369"/>
      <c r="G1158" s="1369"/>
      <c r="H1158" s="1369"/>
      <c r="I1158" s="1369"/>
      <c r="J1158" s="1369"/>
      <c r="K1158" s="1369"/>
      <c r="L1158" s="1369"/>
      <c r="M1158" s="1369"/>
      <c r="N1158" s="1369"/>
      <c r="O1158" s="1369"/>
      <c r="P1158" s="1369"/>
      <c r="Q1158" s="1369"/>
      <c r="R1158" s="1360"/>
      <c r="S1158" s="1358" t="s">
        <v>40</v>
      </c>
      <c r="T1158" s="1361"/>
    </row>
    <row r="1159" spans="1:20" ht="11.25" hidden="1" customHeight="1" x14ac:dyDescent="0.35">
      <c r="A1159" s="319"/>
      <c r="B1159" s="1358"/>
      <c r="C1159" s="1358"/>
      <c r="D1159" s="1358"/>
      <c r="E1159" s="1358" t="s">
        <v>1644</v>
      </c>
      <c r="F1159" s="1369"/>
      <c r="G1159" s="1369"/>
      <c r="H1159" s="1369"/>
      <c r="I1159" s="1369"/>
      <c r="J1159" s="1369"/>
      <c r="K1159" s="1369"/>
      <c r="L1159" s="1369"/>
      <c r="M1159" s="1369"/>
      <c r="N1159" s="1369"/>
      <c r="O1159" s="1369"/>
      <c r="P1159" s="1369"/>
      <c r="Q1159" s="1369"/>
      <c r="R1159" s="1360"/>
      <c r="S1159" s="1358" t="s">
        <v>40</v>
      </c>
      <c r="T1159" s="1361"/>
    </row>
    <row r="1160" spans="1:20" ht="11.25" hidden="1" customHeight="1" x14ac:dyDescent="0.35">
      <c r="A1160" s="319"/>
      <c r="B1160" s="1358"/>
      <c r="C1160" s="1358"/>
      <c r="D1160" s="1358"/>
      <c r="E1160" s="1358" t="s">
        <v>1645</v>
      </c>
      <c r="F1160" s="1369"/>
      <c r="G1160" s="1369"/>
      <c r="H1160" s="1369"/>
      <c r="I1160" s="1369"/>
      <c r="J1160" s="1369"/>
      <c r="K1160" s="1369"/>
      <c r="L1160" s="1369"/>
      <c r="M1160" s="1369"/>
      <c r="N1160" s="1369"/>
      <c r="O1160" s="1369"/>
      <c r="P1160" s="1369"/>
      <c r="Q1160" s="1369"/>
      <c r="R1160" s="1360"/>
      <c r="S1160" s="1358" t="s">
        <v>40</v>
      </c>
      <c r="T1160" s="1361"/>
    </row>
    <row r="1161" spans="1:20" ht="11.25" hidden="1" customHeight="1" x14ac:dyDescent="0.35">
      <c r="A1161" s="319"/>
      <c r="B1161" s="1358"/>
      <c r="C1161" s="1358"/>
      <c r="D1161" s="1358"/>
      <c r="E1161" s="1358" t="s">
        <v>1646</v>
      </c>
      <c r="F1161" s="1369"/>
      <c r="G1161" s="1369"/>
      <c r="H1161" s="1369"/>
      <c r="I1161" s="1369"/>
      <c r="J1161" s="1369"/>
      <c r="K1161" s="1369"/>
      <c r="L1161" s="1369"/>
      <c r="M1161" s="1369"/>
      <c r="N1161" s="1369"/>
      <c r="O1161" s="1369"/>
      <c r="P1161" s="1369"/>
      <c r="Q1161" s="1369"/>
      <c r="R1161" s="1360"/>
      <c r="S1161" s="1358" t="s">
        <v>40</v>
      </c>
      <c r="T1161" s="1361"/>
    </row>
    <row r="1162" spans="1:20" ht="11.25" hidden="1" customHeight="1" x14ac:dyDescent="0.35">
      <c r="A1162" s="319"/>
      <c r="B1162" s="1358"/>
      <c r="C1162" s="1358"/>
      <c r="D1162" s="1358"/>
      <c r="E1162" s="1358" t="s">
        <v>1647</v>
      </c>
      <c r="F1162" s="1369"/>
      <c r="G1162" s="1369"/>
      <c r="H1162" s="1369"/>
      <c r="I1162" s="1369"/>
      <c r="J1162" s="1369"/>
      <c r="K1162" s="1369"/>
      <c r="L1162" s="1369"/>
      <c r="M1162" s="1369"/>
      <c r="N1162" s="1369"/>
      <c r="O1162" s="1369"/>
      <c r="P1162" s="1369"/>
      <c r="Q1162" s="1369"/>
      <c r="R1162" s="1360"/>
      <c r="S1162" s="1358" t="s">
        <v>40</v>
      </c>
      <c r="T1162" s="1361"/>
    </row>
    <row r="1163" spans="1:20" ht="11.25" hidden="1" customHeight="1" x14ac:dyDescent="0.35">
      <c r="A1163" s="319"/>
      <c r="B1163" s="1358"/>
      <c r="C1163" s="1358"/>
      <c r="D1163" s="1358"/>
      <c r="E1163" s="1358" t="s">
        <v>1648</v>
      </c>
      <c r="F1163" s="1369"/>
      <c r="G1163" s="1369"/>
      <c r="H1163" s="1369"/>
      <c r="I1163" s="1369"/>
      <c r="J1163" s="1369"/>
      <c r="K1163" s="1369"/>
      <c r="L1163" s="1369"/>
      <c r="M1163" s="1369"/>
      <c r="N1163" s="1369"/>
      <c r="O1163" s="1369"/>
      <c r="P1163" s="1369"/>
      <c r="Q1163" s="1369"/>
      <c r="R1163" s="1360"/>
      <c r="S1163" s="1358" t="s">
        <v>40</v>
      </c>
      <c r="T1163" s="1361"/>
    </row>
    <row r="1164" spans="1:20" ht="11.25" hidden="1" customHeight="1" x14ac:dyDescent="0.35">
      <c r="A1164" s="319"/>
      <c r="B1164" s="1358"/>
      <c r="C1164" s="1358"/>
      <c r="D1164" s="1358"/>
      <c r="E1164" s="1358" t="s">
        <v>1649</v>
      </c>
      <c r="F1164" s="1369"/>
      <c r="G1164" s="1369"/>
      <c r="H1164" s="1369"/>
      <c r="I1164" s="1369"/>
      <c r="J1164" s="1369"/>
      <c r="K1164" s="1369"/>
      <c r="L1164" s="1369"/>
      <c r="M1164" s="1369"/>
      <c r="N1164" s="1369"/>
      <c r="O1164" s="1369"/>
      <c r="P1164" s="1369"/>
      <c r="Q1164" s="1369"/>
      <c r="R1164" s="1360"/>
      <c r="S1164" s="1358" t="s">
        <v>40</v>
      </c>
      <c r="T1164" s="1361"/>
    </row>
    <row r="1165" spans="1:20" ht="11.25" hidden="1" customHeight="1" x14ac:dyDescent="0.35">
      <c r="A1165" s="319"/>
      <c r="B1165" s="1358"/>
      <c r="C1165" s="1358"/>
      <c r="D1165" s="1358"/>
      <c r="E1165" s="1358" t="s">
        <v>1650</v>
      </c>
      <c r="F1165" s="1369"/>
      <c r="G1165" s="1369"/>
      <c r="H1165" s="1369"/>
      <c r="I1165" s="1369"/>
      <c r="J1165" s="1369"/>
      <c r="K1165" s="1369"/>
      <c r="L1165" s="1369"/>
      <c r="M1165" s="1369"/>
      <c r="N1165" s="1369"/>
      <c r="O1165" s="1369"/>
      <c r="P1165" s="1369"/>
      <c r="Q1165" s="1369"/>
      <c r="R1165" s="1360"/>
      <c r="S1165" s="1358" t="s">
        <v>40</v>
      </c>
      <c r="T1165" s="1361"/>
    </row>
    <row r="1166" spans="1:20" ht="11.25" hidden="1" customHeight="1" x14ac:dyDescent="0.35">
      <c r="A1166" s="319"/>
      <c r="B1166" s="1358"/>
      <c r="C1166" s="1358"/>
      <c r="D1166" s="1358"/>
      <c r="E1166" s="1358" t="s">
        <v>1651</v>
      </c>
      <c r="F1166" s="1369"/>
      <c r="G1166" s="1369"/>
      <c r="H1166" s="1369"/>
      <c r="I1166" s="1369"/>
      <c r="J1166" s="1369"/>
      <c r="K1166" s="1369"/>
      <c r="L1166" s="1369"/>
      <c r="M1166" s="1369"/>
      <c r="N1166" s="1369"/>
      <c r="O1166" s="1369"/>
      <c r="P1166" s="1369"/>
      <c r="Q1166" s="1369"/>
      <c r="R1166" s="1360"/>
      <c r="S1166" s="1358" t="s">
        <v>40</v>
      </c>
      <c r="T1166" s="1361"/>
    </row>
    <row r="1167" spans="1:20" ht="11.25" hidden="1" customHeight="1" x14ac:dyDescent="0.35">
      <c r="A1167" s="319"/>
      <c r="B1167" s="1358"/>
      <c r="C1167" s="1358"/>
      <c r="D1167" s="1358"/>
      <c r="E1167" s="1358" t="s">
        <v>1652</v>
      </c>
      <c r="F1167" s="1369"/>
      <c r="G1167" s="1369"/>
      <c r="H1167" s="1369"/>
      <c r="I1167" s="1369"/>
      <c r="J1167" s="1369"/>
      <c r="K1167" s="1369"/>
      <c r="L1167" s="1369"/>
      <c r="M1167" s="1369"/>
      <c r="N1167" s="1369"/>
      <c r="O1167" s="1369"/>
      <c r="P1167" s="1369"/>
      <c r="Q1167" s="1369"/>
      <c r="R1167" s="1360"/>
      <c r="S1167" s="1358" t="s">
        <v>40</v>
      </c>
      <c r="T1167" s="1361"/>
    </row>
    <row r="1168" spans="1:20" ht="11.25" hidden="1" customHeight="1" x14ac:dyDescent="0.35">
      <c r="A1168" s="319"/>
      <c r="B1168" s="1358"/>
      <c r="C1168" s="1358"/>
      <c r="D1168" s="1358"/>
      <c r="E1168" s="1358" t="s">
        <v>1653</v>
      </c>
      <c r="F1168" s="1369"/>
      <c r="G1168" s="1369"/>
      <c r="H1168" s="1369"/>
      <c r="I1168" s="1369"/>
      <c r="J1168" s="1369"/>
      <c r="K1168" s="1369"/>
      <c r="L1168" s="1369"/>
      <c r="M1168" s="1369"/>
      <c r="N1168" s="1369"/>
      <c r="O1168" s="1369"/>
      <c r="P1168" s="1369"/>
      <c r="Q1168" s="1369"/>
      <c r="R1168" s="1360"/>
      <c r="S1168" s="1358" t="s">
        <v>40</v>
      </c>
      <c r="T1168" s="1361"/>
    </row>
    <row r="1169" spans="1:20" ht="11.25" hidden="1" customHeight="1" x14ac:dyDescent="0.35">
      <c r="A1169" s="319"/>
      <c r="B1169" s="1358"/>
      <c r="C1169" s="1358"/>
      <c r="D1169" s="1358"/>
      <c r="E1169" s="1358" t="s">
        <v>1654</v>
      </c>
      <c r="F1169" s="1369"/>
      <c r="G1169" s="1369"/>
      <c r="H1169" s="1369"/>
      <c r="I1169" s="1369"/>
      <c r="J1169" s="1369"/>
      <c r="K1169" s="1369"/>
      <c r="L1169" s="1369"/>
      <c r="M1169" s="1369"/>
      <c r="N1169" s="1369"/>
      <c r="O1169" s="1369"/>
      <c r="P1169" s="1369"/>
      <c r="Q1169" s="1369"/>
      <c r="R1169" s="1360"/>
      <c r="S1169" s="1358" t="s">
        <v>40</v>
      </c>
      <c r="T1169" s="1361"/>
    </row>
    <row r="1170" spans="1:20" ht="11.25" hidden="1" customHeight="1" x14ac:dyDescent="0.35">
      <c r="A1170" s="319"/>
      <c r="B1170" s="1358"/>
      <c r="C1170" s="1358"/>
      <c r="D1170" s="1358"/>
      <c r="E1170" s="1358" t="s">
        <v>1655</v>
      </c>
      <c r="F1170" s="1369"/>
      <c r="G1170" s="1369"/>
      <c r="H1170" s="1369"/>
      <c r="I1170" s="1369"/>
      <c r="J1170" s="1369"/>
      <c r="K1170" s="1369"/>
      <c r="L1170" s="1369"/>
      <c r="M1170" s="1369"/>
      <c r="N1170" s="1369"/>
      <c r="O1170" s="1369"/>
      <c r="P1170" s="1369"/>
      <c r="Q1170" s="1369"/>
      <c r="R1170" s="1360"/>
      <c r="S1170" s="1358" t="s">
        <v>40</v>
      </c>
      <c r="T1170" s="1361"/>
    </row>
    <row r="1171" spans="1:20" ht="11.25" hidden="1" customHeight="1" x14ac:dyDescent="0.35">
      <c r="A1171" s="319"/>
      <c r="B1171" s="1358"/>
      <c r="C1171" s="1358"/>
      <c r="D1171" s="1358"/>
      <c r="E1171" s="1358" t="s">
        <v>1656</v>
      </c>
      <c r="F1171" s="1369"/>
      <c r="G1171" s="1369"/>
      <c r="H1171" s="1369"/>
      <c r="I1171" s="1369"/>
      <c r="J1171" s="1369"/>
      <c r="K1171" s="1369"/>
      <c r="L1171" s="1369"/>
      <c r="M1171" s="1369"/>
      <c r="N1171" s="1369"/>
      <c r="O1171" s="1369"/>
      <c r="P1171" s="1369"/>
      <c r="Q1171" s="1369"/>
      <c r="R1171" s="1360"/>
      <c r="S1171" s="1358" t="s">
        <v>40</v>
      </c>
      <c r="T1171" s="1361"/>
    </row>
    <row r="1172" spans="1:20" ht="11.25" hidden="1" customHeight="1" x14ac:dyDescent="0.35">
      <c r="A1172" s="319"/>
      <c r="B1172" s="1358"/>
      <c r="C1172" s="1358"/>
      <c r="D1172" s="1358"/>
      <c r="E1172" s="1358" t="s">
        <v>1657</v>
      </c>
      <c r="F1172" s="1369"/>
      <c r="G1172" s="1369"/>
      <c r="H1172" s="1369"/>
      <c r="I1172" s="1369"/>
      <c r="J1172" s="1369"/>
      <c r="K1172" s="1369"/>
      <c r="L1172" s="1369"/>
      <c r="M1172" s="1369"/>
      <c r="N1172" s="1369"/>
      <c r="O1172" s="1369"/>
      <c r="P1172" s="1369"/>
      <c r="Q1172" s="1369"/>
      <c r="R1172" s="1360"/>
      <c r="S1172" s="1358" t="s">
        <v>40</v>
      </c>
      <c r="T1172" s="1361"/>
    </row>
    <row r="1173" spans="1:20" ht="11.25" hidden="1" customHeight="1" x14ac:dyDescent="0.35">
      <c r="A1173" s="319"/>
      <c r="B1173" s="1358"/>
      <c r="C1173" s="1358"/>
      <c r="D1173" s="1358"/>
      <c r="E1173" s="1358" t="s">
        <v>1658</v>
      </c>
      <c r="F1173" s="1369"/>
      <c r="G1173" s="1369">
        <f ca="1">(IF(DcvaCG&lt;&gt;2,G$678+G$679,0)-G$688)*IF(IF(G$5=-99,OFFSET(G$5,0,-1),G$5)&lt;CalcPoint,IF(DontCompound=1,1,(1+IF(VariableRate=1,G$1062,DiscMonth))^G$1064),1/((1+IF(VariableRate=1,G$1062,DiscMonth))^G$1064))</f>
        <v>0</v>
      </c>
      <c r="H1173" s="1369">
        <f t="shared" ref="H1173:Q1173" ca="1" si="800">(IF(DcvaCG&lt;&gt;2,H$678+H$679,0)-H$688)*IF(IF(H$5=-99,OFFSET(H$5,0,-1),H$5)&lt;=CalcPoint,IF(DontCompound=1,1,(1+IF(VariableRate=1,H$1062,DiscMonth))^IF(MYDisc,H$1066,H$1064)),1/((1+IF(VariableRate=1,H$1062,DiscMonth))^IF(MYDisc,H$1066,H$1064)))</f>
        <v>0</v>
      </c>
      <c r="I1173" s="1369">
        <f t="shared" ca="1" si="800"/>
        <v>0</v>
      </c>
      <c r="J1173" s="1369">
        <f t="shared" ca="1" si="800"/>
        <v>0</v>
      </c>
      <c r="K1173" s="1369">
        <f t="shared" ca="1" si="800"/>
        <v>0</v>
      </c>
      <c r="L1173" s="1369">
        <f t="shared" ca="1" si="800"/>
        <v>0</v>
      </c>
      <c r="M1173" s="1369">
        <f t="shared" ca="1" si="800"/>
        <v>0</v>
      </c>
      <c r="N1173" s="1369">
        <f t="shared" ca="1" si="800"/>
        <v>0</v>
      </c>
      <c r="O1173" s="1369">
        <f t="shared" ca="1" si="800"/>
        <v>0</v>
      </c>
      <c r="P1173" s="1369">
        <f t="shared" ca="1" si="800"/>
        <v>0</v>
      </c>
      <c r="Q1173" s="1369">
        <f t="shared" ca="1" si="800"/>
        <v>0</v>
      </c>
      <c r="R1173" s="1360"/>
      <c r="S1173" s="1358" t="s">
        <v>40</v>
      </c>
      <c r="T1173" s="1361"/>
    </row>
    <row r="1174" spans="1:20" ht="11.25" hidden="1" customHeight="1" x14ac:dyDescent="0.35">
      <c r="A1174" s="319"/>
      <c r="B1174" s="1358"/>
      <c r="C1174" s="1358"/>
      <c r="D1174" s="1358"/>
      <c r="E1174" s="1358" t="s">
        <v>1659</v>
      </c>
      <c r="F1174" s="1369"/>
      <c r="G1174" s="1369"/>
      <c r="H1174" s="1369"/>
      <c r="I1174" s="1369"/>
      <c r="J1174" s="1369"/>
      <c r="K1174" s="1369"/>
      <c r="L1174" s="1369"/>
      <c r="M1174" s="1369"/>
      <c r="N1174" s="1369"/>
      <c r="O1174" s="1369"/>
      <c r="P1174" s="1369"/>
      <c r="Q1174" s="1369"/>
      <c r="R1174" s="1360"/>
      <c r="S1174" s="1358" t="s">
        <v>40</v>
      </c>
      <c r="T1174" s="1361"/>
    </row>
    <row r="1175" spans="1:20" ht="11.25" hidden="1" customHeight="1" x14ac:dyDescent="0.35">
      <c r="A1175" s="319"/>
      <c r="B1175" s="1358"/>
      <c r="C1175" s="1358" t="s">
        <v>1660</v>
      </c>
      <c r="D1175" s="1372" t="s">
        <v>1661</v>
      </c>
      <c r="E1175" s="1358" t="s">
        <v>1662</v>
      </c>
      <c r="F1175" s="1369"/>
      <c r="G1175" s="1369"/>
      <c r="H1175" s="1369"/>
      <c r="I1175" s="1369"/>
      <c r="J1175" s="1369"/>
      <c r="K1175" s="1369"/>
      <c r="L1175" s="1369"/>
      <c r="M1175" s="1369"/>
      <c r="N1175" s="1369"/>
      <c r="O1175" s="1369"/>
      <c r="P1175" s="1369"/>
      <c r="Q1175" s="1369"/>
      <c r="R1175" s="1360"/>
      <c r="S1175" s="1358" t="s">
        <v>40</v>
      </c>
      <c r="T1175" s="1361"/>
    </row>
    <row r="1176" spans="1:20" ht="11.25" hidden="1" customHeight="1" x14ac:dyDescent="0.35">
      <c r="A1176" s="319"/>
      <c r="B1176" s="1358"/>
      <c r="C1176" s="1358"/>
      <c r="D1176" s="1358"/>
      <c r="E1176" s="1358" t="s">
        <v>1663</v>
      </c>
      <c r="F1176" s="1369"/>
      <c r="G1176" s="1369"/>
      <c r="H1176" s="1369"/>
      <c r="I1176" s="1369"/>
      <c r="J1176" s="1369"/>
      <c r="K1176" s="1369"/>
      <c r="L1176" s="1369"/>
      <c r="M1176" s="1369"/>
      <c r="N1176" s="1369"/>
      <c r="O1176" s="1369"/>
      <c r="P1176" s="1369"/>
      <c r="Q1176" s="1369"/>
      <c r="R1176" s="1360"/>
      <c r="S1176" s="1358" t="s">
        <v>40</v>
      </c>
      <c r="T1176" s="1361"/>
    </row>
    <row r="1177" spans="1:20" ht="11.25" hidden="1" customHeight="1" x14ac:dyDescent="0.35">
      <c r="A1177" s="319"/>
      <c r="B1177" s="1358"/>
      <c r="C1177" s="1358"/>
      <c r="D1177" s="1358"/>
      <c r="E1177" s="1358" t="s">
        <v>1664</v>
      </c>
      <c r="F1177" s="1369"/>
      <c r="G1177" s="1369"/>
      <c r="H1177" s="1369"/>
      <c r="I1177" s="1369"/>
      <c r="J1177" s="1369"/>
      <c r="K1177" s="1369"/>
      <c r="L1177" s="1369"/>
      <c r="M1177" s="1369"/>
      <c r="N1177" s="1369"/>
      <c r="O1177" s="1369"/>
      <c r="P1177" s="1369"/>
      <c r="Q1177" s="1369"/>
      <c r="R1177" s="1360"/>
      <c r="S1177" s="1358" t="s">
        <v>40</v>
      </c>
      <c r="T1177" s="1361"/>
    </row>
    <row r="1178" spans="1:20" ht="11.25" hidden="1" customHeight="1" x14ac:dyDescent="0.35">
      <c r="A1178" s="319"/>
      <c r="B1178" s="1358"/>
      <c r="C1178" s="1358"/>
      <c r="D1178" s="1358"/>
      <c r="E1178" s="1358" t="s">
        <v>1665</v>
      </c>
      <c r="F1178" s="1369"/>
      <c r="G1178" s="1369"/>
      <c r="H1178" s="1369"/>
      <c r="I1178" s="1369"/>
      <c r="J1178" s="1369"/>
      <c r="K1178" s="1369"/>
      <c r="L1178" s="1369"/>
      <c r="M1178" s="1369"/>
      <c r="N1178" s="1369"/>
      <c r="O1178" s="1369"/>
      <c r="P1178" s="1369"/>
      <c r="Q1178" s="1369"/>
      <c r="R1178" s="1360"/>
      <c r="S1178" s="1358" t="s">
        <v>40</v>
      </c>
      <c r="T1178" s="1361"/>
    </row>
    <row r="1179" spans="1:20" ht="11.25" hidden="1" customHeight="1" x14ac:dyDescent="0.35">
      <c r="A1179" s="319"/>
      <c r="B1179" s="1358"/>
      <c r="C1179" s="1358"/>
      <c r="D1179" s="1358"/>
      <c r="E1179" s="1358" t="s">
        <v>1666</v>
      </c>
      <c r="F1179" s="1369"/>
      <c r="G1179" s="1369"/>
      <c r="H1179" s="1369"/>
      <c r="I1179" s="1369"/>
      <c r="J1179" s="1369"/>
      <c r="K1179" s="1369"/>
      <c r="L1179" s="1369"/>
      <c r="M1179" s="1369"/>
      <c r="N1179" s="1369"/>
      <c r="O1179" s="1369"/>
      <c r="P1179" s="1369"/>
      <c r="Q1179" s="1369"/>
      <c r="R1179" s="1360"/>
      <c r="S1179" s="1358" t="s">
        <v>40</v>
      </c>
      <c r="T1179" s="1361"/>
    </row>
    <row r="1180" spans="1:20" ht="11.25" hidden="1" customHeight="1" x14ac:dyDescent="0.35">
      <c r="A1180" s="319"/>
      <c r="B1180" s="1358"/>
      <c r="C1180" s="1358"/>
      <c r="D1180" s="1358"/>
      <c r="E1180" s="1358" t="s">
        <v>1667</v>
      </c>
      <c r="F1180" s="1369"/>
      <c r="G1180" s="1369"/>
      <c r="H1180" s="1369"/>
      <c r="I1180" s="1369"/>
      <c r="J1180" s="1369"/>
      <c r="K1180" s="1369"/>
      <c r="L1180" s="1369"/>
      <c r="M1180" s="1369"/>
      <c r="N1180" s="1369"/>
      <c r="O1180" s="1369"/>
      <c r="P1180" s="1369"/>
      <c r="Q1180" s="1369"/>
      <c r="R1180" s="1360"/>
      <c r="S1180" s="1358" t="s">
        <v>40</v>
      </c>
      <c r="T1180" s="1361"/>
    </row>
    <row r="1181" spans="1:20" ht="11.25" hidden="1" customHeight="1" x14ac:dyDescent="0.35">
      <c r="A1181" s="319"/>
      <c r="B1181" s="1358"/>
      <c r="C1181" s="1358"/>
      <c r="D1181" s="1358"/>
      <c r="E1181" s="1358" t="s">
        <v>1668</v>
      </c>
      <c r="F1181" s="1369"/>
      <c r="G1181" s="1369"/>
      <c r="H1181" s="1369"/>
      <c r="I1181" s="1369"/>
      <c r="J1181" s="1369"/>
      <c r="K1181" s="1369"/>
      <c r="L1181" s="1369"/>
      <c r="M1181" s="1369"/>
      <c r="N1181" s="1369"/>
      <c r="O1181" s="1369"/>
      <c r="P1181" s="1369"/>
      <c r="Q1181" s="1369"/>
      <c r="R1181" s="1360"/>
      <c r="S1181" s="1358" t="s">
        <v>40</v>
      </c>
      <c r="T1181" s="1361"/>
    </row>
    <row r="1182" spans="1:20" ht="11.25" hidden="1" customHeight="1" x14ac:dyDescent="0.35">
      <c r="A1182" s="319"/>
      <c r="B1182" s="1358"/>
      <c r="C1182" s="1358"/>
      <c r="D1182" s="1358"/>
      <c r="E1182" s="1358" t="s">
        <v>1669</v>
      </c>
      <c r="F1182" s="1369"/>
      <c r="G1182" s="1369"/>
      <c r="H1182" s="1369"/>
      <c r="I1182" s="1369"/>
      <c r="J1182" s="1369"/>
      <c r="K1182" s="1369"/>
      <c r="L1182" s="1369"/>
      <c r="M1182" s="1369"/>
      <c r="N1182" s="1369"/>
      <c r="O1182" s="1369"/>
      <c r="P1182" s="1369"/>
      <c r="Q1182" s="1369"/>
      <c r="R1182" s="1360"/>
      <c r="S1182" s="1358" t="s">
        <v>40</v>
      </c>
      <c r="T1182" s="1361"/>
    </row>
    <row r="1183" spans="1:20" ht="11.25" hidden="1" customHeight="1" x14ac:dyDescent="0.35">
      <c r="A1183" s="319"/>
      <c r="B1183" s="1358"/>
      <c r="C1183" s="1358"/>
      <c r="D1183" s="1358"/>
      <c r="E1183" s="1358" t="s">
        <v>1670</v>
      </c>
      <c r="F1183" s="1369"/>
      <c r="G1183" s="1369"/>
      <c r="H1183" s="1369"/>
      <c r="I1183" s="1369"/>
      <c r="J1183" s="1369"/>
      <c r="K1183" s="1369"/>
      <c r="L1183" s="1369"/>
      <c r="M1183" s="1369"/>
      <c r="N1183" s="1369"/>
      <c r="O1183" s="1369"/>
      <c r="P1183" s="1369"/>
      <c r="Q1183" s="1369"/>
      <c r="R1183" s="1360"/>
      <c r="S1183" s="1358" t="s">
        <v>40</v>
      </c>
      <c r="T1183" s="1361"/>
    </row>
    <row r="1184" spans="1:20" ht="11.25" hidden="1" customHeight="1" x14ac:dyDescent="0.35">
      <c r="A1184" s="319"/>
      <c r="B1184" s="1358"/>
      <c r="C1184" s="1358"/>
      <c r="D1184" s="1358"/>
      <c r="E1184" s="1358" t="s">
        <v>1671</v>
      </c>
      <c r="F1184" s="1369"/>
      <c r="G1184" s="1369"/>
      <c r="H1184" s="1369"/>
      <c r="I1184" s="1369"/>
      <c r="J1184" s="1369"/>
      <c r="K1184" s="1369"/>
      <c r="L1184" s="1369"/>
      <c r="M1184" s="1369"/>
      <c r="N1184" s="1369"/>
      <c r="O1184" s="1369"/>
      <c r="P1184" s="1369"/>
      <c r="Q1184" s="1369"/>
      <c r="R1184" s="1360"/>
      <c r="S1184" s="1358" t="s">
        <v>40</v>
      </c>
      <c r="T1184" s="1361"/>
    </row>
    <row r="1185" spans="1:20" ht="11.25" hidden="1" customHeight="1" x14ac:dyDescent="0.35">
      <c r="A1185" s="319"/>
      <c r="B1185" s="1358"/>
      <c r="C1185" s="1358"/>
      <c r="D1185" s="1358"/>
      <c r="E1185" s="1358" t="s">
        <v>1672</v>
      </c>
      <c r="F1185" s="1369"/>
      <c r="G1185" s="1369"/>
      <c r="H1185" s="1369"/>
      <c r="I1185" s="1369"/>
      <c r="J1185" s="1369"/>
      <c r="K1185" s="1369"/>
      <c r="L1185" s="1369"/>
      <c r="M1185" s="1369"/>
      <c r="N1185" s="1369"/>
      <c r="O1185" s="1369"/>
      <c r="P1185" s="1369"/>
      <c r="Q1185" s="1369"/>
      <c r="R1185" s="1360"/>
      <c r="S1185" s="1358" t="s">
        <v>40</v>
      </c>
      <c r="T1185" s="1361"/>
    </row>
    <row r="1186" spans="1:20" ht="11.25" hidden="1" customHeight="1" x14ac:dyDescent="0.35">
      <c r="A1186" s="319"/>
      <c r="B1186" s="1358"/>
      <c r="C1186" s="1358"/>
      <c r="D1186" s="1358"/>
      <c r="E1186" s="1358" t="s">
        <v>1673</v>
      </c>
      <c r="F1186" s="1369"/>
      <c r="G1186" s="1369"/>
      <c r="H1186" s="1369"/>
      <c r="I1186" s="1369"/>
      <c r="J1186" s="1369"/>
      <c r="K1186" s="1369"/>
      <c r="L1186" s="1369"/>
      <c r="M1186" s="1369"/>
      <c r="N1186" s="1369"/>
      <c r="O1186" s="1369"/>
      <c r="P1186" s="1369"/>
      <c r="Q1186" s="1369"/>
      <c r="R1186" s="1360"/>
      <c r="S1186" s="1358" t="s">
        <v>40</v>
      </c>
      <c r="T1186" s="1361"/>
    </row>
    <row r="1187" spans="1:20" ht="11.25" hidden="1" customHeight="1" x14ac:dyDescent="0.35">
      <c r="A1187" s="319"/>
      <c r="B1187" s="1358"/>
      <c r="C1187" s="1358"/>
      <c r="D1187" s="1358"/>
      <c r="E1187" s="1358" t="s">
        <v>1674</v>
      </c>
      <c r="F1187" s="1369"/>
      <c r="G1187" s="1369"/>
      <c r="H1187" s="1369"/>
      <c r="I1187" s="1369"/>
      <c r="J1187" s="1369"/>
      <c r="K1187" s="1369"/>
      <c r="L1187" s="1369"/>
      <c r="M1187" s="1369"/>
      <c r="N1187" s="1369"/>
      <c r="O1187" s="1369"/>
      <c r="P1187" s="1369"/>
      <c r="Q1187" s="1369"/>
      <c r="R1187" s="1360"/>
      <c r="S1187" s="1358" t="s">
        <v>40</v>
      </c>
      <c r="T1187" s="1361"/>
    </row>
    <row r="1188" spans="1:20" ht="11.25" hidden="1" customHeight="1" x14ac:dyDescent="0.35">
      <c r="A1188" s="319"/>
      <c r="B1188" s="1358"/>
      <c r="C1188" s="1358"/>
      <c r="D1188" s="1358"/>
      <c r="E1188" s="1358" t="s">
        <v>1675</v>
      </c>
      <c r="F1188" s="1369"/>
      <c r="G1188" s="1369"/>
      <c r="H1188" s="1369"/>
      <c r="I1188" s="1369"/>
      <c r="J1188" s="1369"/>
      <c r="K1188" s="1369"/>
      <c r="L1188" s="1369"/>
      <c r="M1188" s="1369"/>
      <c r="N1188" s="1369"/>
      <c r="O1188" s="1369"/>
      <c r="P1188" s="1369"/>
      <c r="Q1188" s="1369"/>
      <c r="R1188" s="1360"/>
      <c r="S1188" s="1358" t="s">
        <v>40</v>
      </c>
      <c r="T1188" s="1361"/>
    </row>
    <row r="1189" spans="1:20" ht="11.25" hidden="1" customHeight="1" x14ac:dyDescent="0.35">
      <c r="A1189" s="319"/>
      <c r="B1189" s="1358"/>
      <c r="C1189" s="1358"/>
      <c r="D1189" s="1358"/>
      <c r="E1189" s="1358" t="s">
        <v>1676</v>
      </c>
      <c r="F1189" s="1369"/>
      <c r="G1189" s="1369"/>
      <c r="H1189" s="1369"/>
      <c r="I1189" s="1369"/>
      <c r="J1189" s="1369"/>
      <c r="K1189" s="1369"/>
      <c r="L1189" s="1369"/>
      <c r="M1189" s="1369"/>
      <c r="N1189" s="1369"/>
      <c r="O1189" s="1369"/>
      <c r="P1189" s="1369"/>
      <c r="Q1189" s="1369"/>
      <c r="R1189" s="1360"/>
      <c r="S1189" s="1358" t="s">
        <v>40</v>
      </c>
      <c r="T1189" s="1361"/>
    </row>
    <row r="1190" spans="1:20" ht="11.25" hidden="1" customHeight="1" x14ac:dyDescent="0.35">
      <c r="A1190" s="319"/>
      <c r="B1190" s="1358"/>
      <c r="C1190" s="1358"/>
      <c r="D1190" s="1358"/>
      <c r="E1190" s="1358" t="s">
        <v>1677</v>
      </c>
      <c r="F1190" s="1369"/>
      <c r="G1190" s="1369"/>
      <c r="H1190" s="1369"/>
      <c r="I1190" s="1369"/>
      <c r="J1190" s="1369"/>
      <c r="K1190" s="1369"/>
      <c r="L1190" s="1369"/>
      <c r="M1190" s="1369"/>
      <c r="N1190" s="1369"/>
      <c r="O1190" s="1369"/>
      <c r="P1190" s="1369"/>
      <c r="Q1190" s="1369"/>
      <c r="R1190" s="1360"/>
      <c r="S1190" s="1358" t="s">
        <v>40</v>
      </c>
      <c r="T1190" s="1361"/>
    </row>
    <row r="1191" spans="1:20" ht="11.25" hidden="1" customHeight="1" x14ac:dyDescent="0.35">
      <c r="A1191" s="319"/>
      <c r="B1191" s="1358"/>
      <c r="C1191" s="1358"/>
      <c r="D1191" s="1358"/>
      <c r="E1191" s="1358" t="s">
        <v>1678</v>
      </c>
      <c r="F1191" s="1369"/>
      <c r="G1191" s="1369"/>
      <c r="H1191" s="1369"/>
      <c r="I1191" s="1369"/>
      <c r="J1191" s="1369"/>
      <c r="K1191" s="1369"/>
      <c r="L1191" s="1369"/>
      <c r="M1191" s="1369"/>
      <c r="N1191" s="1369"/>
      <c r="O1191" s="1369"/>
      <c r="P1191" s="1369"/>
      <c r="Q1191" s="1369"/>
      <c r="R1191" s="1360"/>
      <c r="S1191" s="1358" t="s">
        <v>40</v>
      </c>
      <c r="T1191" s="1361"/>
    </row>
    <row r="1192" spans="1:20" ht="11.25" hidden="1" customHeight="1" x14ac:dyDescent="0.35">
      <c r="A1192" s="319"/>
      <c r="B1192" s="1358"/>
      <c r="C1192" s="1358"/>
      <c r="D1192" s="1358"/>
      <c r="E1192" s="1358" t="s">
        <v>1679</v>
      </c>
      <c r="F1192" s="1369"/>
      <c r="G1192" s="1369"/>
      <c r="H1192" s="1369"/>
      <c r="I1192" s="1369"/>
      <c r="J1192" s="1369"/>
      <c r="K1192" s="1369"/>
      <c r="L1192" s="1369"/>
      <c r="M1192" s="1369"/>
      <c r="N1192" s="1369"/>
      <c r="O1192" s="1369"/>
      <c r="P1192" s="1369"/>
      <c r="Q1192" s="1369"/>
      <c r="R1192" s="1360"/>
      <c r="S1192" s="1358" t="s">
        <v>40</v>
      </c>
      <c r="T1192" s="1361"/>
    </row>
    <row r="1193" spans="1:20" ht="11.25" hidden="1" customHeight="1" x14ac:dyDescent="0.35">
      <c r="A1193" s="319"/>
      <c r="B1193" s="1358"/>
      <c r="C1193" s="1358"/>
      <c r="D1193" s="1358"/>
      <c r="E1193" s="1358" t="s">
        <v>1680</v>
      </c>
      <c r="F1193" s="1369"/>
      <c r="G1193" s="1369"/>
      <c r="H1193" s="1369"/>
      <c r="I1193" s="1369"/>
      <c r="J1193" s="1369"/>
      <c r="K1193" s="1369"/>
      <c r="L1193" s="1369"/>
      <c r="M1193" s="1369"/>
      <c r="N1193" s="1369"/>
      <c r="O1193" s="1369"/>
      <c r="P1193" s="1369"/>
      <c r="Q1193" s="1369"/>
      <c r="R1193" s="1360"/>
      <c r="S1193" s="1358" t="s">
        <v>40</v>
      </c>
      <c r="T1193" s="1361"/>
    </row>
    <row r="1194" spans="1:20" ht="11.25" hidden="1" customHeight="1" x14ac:dyDescent="0.35">
      <c r="A1194" s="319"/>
      <c r="B1194" s="1358"/>
      <c r="C1194" s="1358"/>
      <c r="D1194" s="1358"/>
      <c r="E1194" s="1358" t="s">
        <v>1681</v>
      </c>
      <c r="F1194" s="1369"/>
      <c r="G1194" s="1369"/>
      <c r="H1194" s="1369"/>
      <c r="I1194" s="1369"/>
      <c r="J1194" s="1369"/>
      <c r="K1194" s="1369"/>
      <c r="L1194" s="1369"/>
      <c r="M1194" s="1369"/>
      <c r="N1194" s="1369"/>
      <c r="O1194" s="1369"/>
      <c r="P1194" s="1369"/>
      <c r="Q1194" s="1369"/>
      <c r="R1194" s="1360"/>
      <c r="S1194" s="1358" t="s">
        <v>40</v>
      </c>
      <c r="T1194" s="1361"/>
    </row>
    <row r="1195" spans="1:20" ht="11.25" hidden="1" customHeight="1" x14ac:dyDescent="0.35">
      <c r="A1195" s="319"/>
      <c r="B1195" s="1358"/>
      <c r="C1195" s="1358"/>
      <c r="D1195" s="1358"/>
      <c r="E1195" s="1358" t="s">
        <v>1682</v>
      </c>
      <c r="F1195" s="1369"/>
      <c r="G1195" s="1369"/>
      <c r="H1195" s="1369"/>
      <c r="I1195" s="1369"/>
      <c r="J1195" s="1369"/>
      <c r="K1195" s="1369"/>
      <c r="L1195" s="1369"/>
      <c r="M1195" s="1369"/>
      <c r="N1195" s="1369"/>
      <c r="O1195" s="1369"/>
      <c r="P1195" s="1369"/>
      <c r="Q1195" s="1369"/>
      <c r="R1195" s="1360"/>
      <c r="S1195" s="1358" t="s">
        <v>40</v>
      </c>
      <c r="T1195" s="1361"/>
    </row>
    <row r="1196" spans="1:20" ht="11.25" hidden="1" customHeight="1" x14ac:dyDescent="0.35">
      <c r="A1196" s="319"/>
      <c r="B1196" s="1358"/>
      <c r="C1196" s="1358"/>
      <c r="D1196" s="1358"/>
      <c r="E1196" s="1358" t="s">
        <v>1683</v>
      </c>
      <c r="F1196" s="1369"/>
      <c r="G1196" s="1369"/>
      <c r="H1196" s="1369"/>
      <c r="I1196" s="1369"/>
      <c r="J1196" s="1369"/>
      <c r="K1196" s="1369"/>
      <c r="L1196" s="1369"/>
      <c r="M1196" s="1369"/>
      <c r="N1196" s="1369"/>
      <c r="O1196" s="1369"/>
      <c r="P1196" s="1369"/>
      <c r="Q1196" s="1369"/>
      <c r="R1196" s="1360"/>
      <c r="S1196" s="1358" t="s">
        <v>40</v>
      </c>
      <c r="T1196" s="1361"/>
    </row>
    <row r="1197" spans="1:20" ht="11.25" hidden="1" customHeight="1" x14ac:dyDescent="0.35">
      <c r="A1197" s="319"/>
      <c r="B1197" s="1358"/>
      <c r="C1197" s="1358"/>
      <c r="D1197" s="1358"/>
      <c r="E1197" s="1358" t="s">
        <v>1684</v>
      </c>
      <c r="F1197" s="1369"/>
      <c r="G1197" s="1369"/>
      <c r="H1197" s="1369"/>
      <c r="I1197" s="1369"/>
      <c r="J1197" s="1369"/>
      <c r="K1197" s="1369"/>
      <c r="L1197" s="1369"/>
      <c r="M1197" s="1369"/>
      <c r="N1197" s="1369"/>
      <c r="O1197" s="1369"/>
      <c r="P1197" s="1369"/>
      <c r="Q1197" s="1369"/>
      <c r="R1197" s="1360"/>
      <c r="S1197" s="1358" t="s">
        <v>40</v>
      </c>
      <c r="T1197" s="1361"/>
    </row>
    <row r="1198" spans="1:20" ht="11.25" hidden="1" customHeight="1" x14ac:dyDescent="0.35">
      <c r="A1198" s="319"/>
      <c r="B1198" s="1358"/>
      <c r="C1198" s="1358"/>
      <c r="D1198" s="1358"/>
      <c r="E1198" s="1358" t="s">
        <v>1685</v>
      </c>
      <c r="F1198" s="1369"/>
      <c r="G1198" s="1369"/>
      <c r="H1198" s="1369"/>
      <c r="I1198" s="1369"/>
      <c r="J1198" s="1369"/>
      <c r="K1198" s="1369"/>
      <c r="L1198" s="1369"/>
      <c r="M1198" s="1369"/>
      <c r="N1198" s="1369"/>
      <c r="O1198" s="1369"/>
      <c r="P1198" s="1369"/>
      <c r="Q1198" s="1369"/>
      <c r="R1198" s="1360"/>
      <c r="S1198" s="1358" t="s">
        <v>40</v>
      </c>
      <c r="T1198" s="1361"/>
    </row>
    <row r="1199" spans="1:20" ht="11.25" hidden="1" customHeight="1" x14ac:dyDescent="0.35">
      <c r="A1199" s="319"/>
      <c r="B1199" s="1358"/>
      <c r="C1199" s="1358"/>
      <c r="D1199" s="1358"/>
      <c r="E1199" s="1358" t="s">
        <v>1686</v>
      </c>
      <c r="F1199" s="1369"/>
      <c r="G1199" s="1369"/>
      <c r="H1199" s="1369"/>
      <c r="I1199" s="1369"/>
      <c r="J1199" s="1369"/>
      <c r="K1199" s="1369"/>
      <c r="L1199" s="1369"/>
      <c r="M1199" s="1369"/>
      <c r="N1199" s="1369"/>
      <c r="O1199" s="1369"/>
      <c r="P1199" s="1369"/>
      <c r="Q1199" s="1369"/>
      <c r="R1199" s="1360"/>
      <c r="S1199" s="1358" t="s">
        <v>40</v>
      </c>
      <c r="T1199" s="1361"/>
    </row>
    <row r="1200" spans="1:20" ht="11.25" hidden="1" customHeight="1" x14ac:dyDescent="0.35">
      <c r="A1200" s="319"/>
      <c r="B1200" s="1358"/>
      <c r="C1200" s="1358"/>
      <c r="D1200" s="1358"/>
      <c r="E1200" s="1358" t="s">
        <v>1687</v>
      </c>
      <c r="F1200" s="1369"/>
      <c r="G1200" s="1369"/>
      <c r="H1200" s="1369"/>
      <c r="I1200" s="1369"/>
      <c r="J1200" s="1369"/>
      <c r="K1200" s="1369"/>
      <c r="L1200" s="1369"/>
      <c r="M1200" s="1369"/>
      <c r="N1200" s="1369"/>
      <c r="O1200" s="1369"/>
      <c r="P1200" s="1369"/>
      <c r="Q1200" s="1369"/>
      <c r="R1200" s="1360"/>
      <c r="S1200" s="1358" t="s">
        <v>40</v>
      </c>
      <c r="T1200" s="1361"/>
    </row>
    <row r="1201" spans="1:20" ht="11.25" hidden="1" customHeight="1" x14ac:dyDescent="0.35">
      <c r="A1201" s="319"/>
      <c r="B1201" s="1358"/>
      <c r="C1201" s="1358"/>
      <c r="D1201" s="1358"/>
      <c r="E1201" s="1358" t="s">
        <v>1688</v>
      </c>
      <c r="F1201" s="1369"/>
      <c r="G1201" s="1369"/>
      <c r="H1201" s="1369"/>
      <c r="I1201" s="1369"/>
      <c r="J1201" s="1369"/>
      <c r="K1201" s="1369"/>
      <c r="L1201" s="1369"/>
      <c r="M1201" s="1369"/>
      <c r="N1201" s="1369"/>
      <c r="O1201" s="1369"/>
      <c r="P1201" s="1369"/>
      <c r="Q1201" s="1369"/>
      <c r="R1201" s="1360"/>
      <c r="S1201" s="1358" t="s">
        <v>40</v>
      </c>
      <c r="T1201" s="1361"/>
    </row>
    <row r="1202" spans="1:20" ht="11.25" hidden="1" customHeight="1" x14ac:dyDescent="0.35">
      <c r="A1202" s="319"/>
      <c r="B1202" s="1358"/>
      <c r="C1202" s="1358"/>
      <c r="D1202" s="1358"/>
      <c r="E1202" s="1358" t="s">
        <v>1689</v>
      </c>
      <c r="F1202" s="1369"/>
      <c r="G1202" s="1369"/>
      <c r="H1202" s="1369"/>
      <c r="I1202" s="1369"/>
      <c r="J1202" s="1369"/>
      <c r="K1202" s="1369"/>
      <c r="L1202" s="1369"/>
      <c r="M1202" s="1369"/>
      <c r="N1202" s="1369"/>
      <c r="O1202" s="1369"/>
      <c r="P1202" s="1369"/>
      <c r="Q1202" s="1369"/>
      <c r="R1202" s="1360"/>
      <c r="S1202" s="1358" t="s">
        <v>40</v>
      </c>
      <c r="T1202" s="1361"/>
    </row>
    <row r="1203" spans="1:20" ht="11.25" hidden="1" customHeight="1" x14ac:dyDescent="0.35">
      <c r="A1203" s="319"/>
      <c r="B1203" s="1358"/>
      <c r="C1203" s="1358"/>
      <c r="D1203" s="1358"/>
      <c r="E1203" s="1358" t="s">
        <v>1690</v>
      </c>
      <c r="F1203" s="1369"/>
      <c r="G1203" s="1369"/>
      <c r="H1203" s="1369"/>
      <c r="I1203" s="1369"/>
      <c r="J1203" s="1369"/>
      <c r="K1203" s="1369"/>
      <c r="L1203" s="1369"/>
      <c r="M1203" s="1369"/>
      <c r="N1203" s="1369"/>
      <c r="O1203" s="1369"/>
      <c r="P1203" s="1369"/>
      <c r="Q1203" s="1369"/>
      <c r="R1203" s="1360"/>
      <c r="S1203" s="1358" t="s">
        <v>40</v>
      </c>
      <c r="T1203" s="1361"/>
    </row>
    <row r="1204" spans="1:20" ht="11.25" hidden="1" customHeight="1" x14ac:dyDescent="0.35">
      <c r="A1204" s="319"/>
      <c r="B1204" s="1358"/>
      <c r="C1204" s="1358"/>
      <c r="D1204" s="1358"/>
      <c r="E1204" s="1358" t="s">
        <v>1691</v>
      </c>
      <c r="F1204" s="1369"/>
      <c r="G1204" s="1369"/>
      <c r="H1204" s="1369"/>
      <c r="I1204" s="1369"/>
      <c r="J1204" s="1369"/>
      <c r="K1204" s="1369"/>
      <c r="L1204" s="1369"/>
      <c r="M1204" s="1369"/>
      <c r="N1204" s="1369"/>
      <c r="O1204" s="1369"/>
      <c r="P1204" s="1369"/>
      <c r="Q1204" s="1369"/>
      <c r="R1204" s="1360"/>
      <c r="S1204" s="1358" t="s">
        <v>40</v>
      </c>
      <c r="T1204" s="1361"/>
    </row>
    <row r="1205" spans="1:20" ht="11.25" hidden="1" customHeight="1" x14ac:dyDescent="0.35">
      <c r="A1205" s="319"/>
      <c r="B1205" s="1358"/>
      <c r="C1205" s="1358" t="s">
        <v>1692</v>
      </c>
      <c r="D1205" s="1358"/>
      <c r="E1205" s="1358" t="s">
        <v>1693</v>
      </c>
      <c r="F1205" s="1369"/>
      <c r="G1205" s="1359">
        <f t="shared" ref="G1205:Q1205" ca="1" si="801">IF(VariableRateEquity=1,SUM(OFFSET($E$700,0,G$8)),SUM(DiscYearEquity))</f>
        <v>0</v>
      </c>
      <c r="H1205" s="1359">
        <f t="shared" ca="1" si="801"/>
        <v>0</v>
      </c>
      <c r="I1205" s="1359">
        <f t="shared" ca="1" si="801"/>
        <v>0</v>
      </c>
      <c r="J1205" s="1359">
        <f t="shared" ca="1" si="801"/>
        <v>0</v>
      </c>
      <c r="K1205" s="1359">
        <f t="shared" ca="1" si="801"/>
        <v>0</v>
      </c>
      <c r="L1205" s="1359">
        <f t="shared" ca="1" si="801"/>
        <v>0</v>
      </c>
      <c r="M1205" s="1359">
        <f t="shared" ca="1" si="801"/>
        <v>0</v>
      </c>
      <c r="N1205" s="1359">
        <f t="shared" ca="1" si="801"/>
        <v>0</v>
      </c>
      <c r="O1205" s="1359">
        <f t="shared" ca="1" si="801"/>
        <v>0</v>
      </c>
      <c r="P1205" s="1359">
        <f t="shared" ca="1" si="801"/>
        <v>0</v>
      </c>
      <c r="Q1205" s="1359">
        <f t="shared" ca="1" si="801"/>
        <v>0</v>
      </c>
      <c r="R1205" s="1360"/>
      <c r="S1205" s="1358" t="s">
        <v>40</v>
      </c>
      <c r="T1205" s="1361"/>
    </row>
    <row r="1206" spans="1:20" ht="11.25" hidden="1" customHeight="1" x14ac:dyDescent="0.35">
      <c r="A1206" s="319"/>
      <c r="B1206" s="1358"/>
      <c r="C1206" s="1358" t="s">
        <v>1694</v>
      </c>
      <c r="D1206" s="1358"/>
      <c r="E1206" s="1358" t="s">
        <v>1695</v>
      </c>
      <c r="F1206" s="1369"/>
      <c r="G1206" s="1359">
        <f t="shared" ref="G1206:Q1206" ca="1" si="802">(1+G1205/100)^(1/12)-1</f>
        <v>0</v>
      </c>
      <c r="H1206" s="1359">
        <f t="shared" ca="1" si="802"/>
        <v>0</v>
      </c>
      <c r="I1206" s="1359">
        <f t="shared" ca="1" si="802"/>
        <v>0</v>
      </c>
      <c r="J1206" s="1359">
        <f t="shared" ca="1" si="802"/>
        <v>0</v>
      </c>
      <c r="K1206" s="1359">
        <f t="shared" ca="1" si="802"/>
        <v>0</v>
      </c>
      <c r="L1206" s="1359">
        <f t="shared" ca="1" si="802"/>
        <v>0</v>
      </c>
      <c r="M1206" s="1359">
        <f t="shared" ref="M1206:N1206" ca="1" si="803">(1+M1205/100)^(1/12)-1</f>
        <v>0</v>
      </c>
      <c r="N1206" s="1359">
        <f t="shared" ca="1" si="803"/>
        <v>0</v>
      </c>
      <c r="O1206" s="1359">
        <f t="shared" ref="O1206:P1206" ca="1" si="804">(1+O1205/100)^(1/12)-1</f>
        <v>0</v>
      </c>
      <c r="P1206" s="1359">
        <f t="shared" ca="1" si="804"/>
        <v>0</v>
      </c>
      <c r="Q1206" s="1359">
        <f t="shared" ca="1" si="802"/>
        <v>0</v>
      </c>
      <c r="R1206" s="1360"/>
      <c r="S1206" s="1358" t="s">
        <v>40</v>
      </c>
      <c r="T1206" s="1361"/>
    </row>
    <row r="1207" spans="1:20" ht="11.25" hidden="1" customHeight="1" x14ac:dyDescent="0.35">
      <c r="A1207" s="319"/>
      <c r="B1207" s="1358"/>
      <c r="C1207" s="1358" t="s">
        <v>1696</v>
      </c>
      <c r="D1207" s="1358"/>
      <c r="E1207" s="1358" t="s">
        <v>1697</v>
      </c>
      <c r="F1207" s="1369"/>
      <c r="G1207" s="1369">
        <f ca="1">(G$680+G$686)*IF(IF(G$5=-99,OFFSET(G$5,0,-1),G$5)&lt;CalcPoint,IF(DontCompound=1,1,(1+IF(VariableRateEquity=1,G$1206,DiscMonthEquity))^G$1064),1/((1+IF(VariableRateEquity=1,G$1206,DiscMonthEquity))^G$1064))</f>
        <v>0</v>
      </c>
      <c r="H1207" s="1369">
        <f t="shared" ref="H1207:Q1207" ca="1" si="805">(H$680+H$686)*IF(IF(H$5=-99,OFFSET(H$5,0,-1),H$5)&lt;=CalcPoint,IF(DontCompound=1,1,(1+IF(VariableRateEquity=1,H$1206,DiscMonthEquity))^IF(MYDisc,H$1066,H$1064)),1/((1+IF(VariableRateEquity=1,H$1206,DiscMonthEquity))^IF(MYDisc,H$1066,H$1064)))</f>
        <v>-2537900</v>
      </c>
      <c r="I1207" s="1369">
        <f t="shared" ca="1" si="805"/>
        <v>-761540.845335969</v>
      </c>
      <c r="J1207" s="1369">
        <f t="shared" ca="1" si="805"/>
        <v>-281840.45829997584</v>
      </c>
      <c r="K1207" s="1369">
        <f t="shared" ca="1" si="805"/>
        <v>-357256.15830286831</v>
      </c>
      <c r="L1207" s="1369">
        <f t="shared" ca="1" si="805"/>
        <v>1305902.8051232728</v>
      </c>
      <c r="M1207" s="1369">
        <f t="shared" ca="1" si="805"/>
        <v>1734438.0116514824</v>
      </c>
      <c r="N1207" s="1369">
        <f t="shared" ca="1" si="805"/>
        <v>2594656.1580230654</v>
      </c>
      <c r="O1207" s="1369">
        <f t="shared" ca="1" si="805"/>
        <v>3502168.1138907536</v>
      </c>
      <c r="P1207" s="1369">
        <f t="shared" ca="1" si="805"/>
        <v>4714520.0547505487</v>
      </c>
      <c r="Q1207" s="1369">
        <f t="shared" ca="1" si="805"/>
        <v>4416846.7533868337</v>
      </c>
      <c r="R1207" s="1360"/>
      <c r="S1207" s="1358" t="s">
        <v>40</v>
      </c>
      <c r="T1207" s="1361"/>
    </row>
    <row r="1208" spans="1:20" ht="11.25" hidden="1" customHeight="1" x14ac:dyDescent="0.35">
      <c r="A1208" s="319"/>
      <c r="B1208" s="1358"/>
      <c r="C1208" s="1358" t="s">
        <v>1698</v>
      </c>
      <c r="D1208" s="1358"/>
      <c r="E1208" s="1358" t="s">
        <v>1699</v>
      </c>
      <c r="F1208" s="1369"/>
      <c r="G1208" s="1369">
        <f ca="1">(G$680+G$686)*IF(IF(G$5=-99,OFFSET(G$5,0,-1),G$5)&lt;CalcPointPB,IF(DontCompoundPB=1,1,(1+IF(VariableRateEquity=1,G$1206,DiscMonthEquity))^G$1065),1/((1+IF(VariableRateEquity=1,G$1206,DiscMonthEquity))^G$1065))</f>
        <v>0</v>
      </c>
      <c r="H1208" s="1369">
        <f t="shared" ref="H1208:Q1208" ca="1" si="806">(H$680+H$686)*IF(IF(H$5=-99,OFFSET(H$5,0,-1),H$5)&lt;=CalcPointPB,IF(DontCompoundPB=1,1,(1+IF(VariableRateEquity=1,H$1206,DiscMonthEquity))^IF(MYDisc,H$1067,H$1065)),1/((1+IF(VariableRateEquity=1,H$1206,DiscMonthEquity))^IF(MYDisc,H$1067,H$1065)))</f>
        <v>-2537900</v>
      </c>
      <c r="I1208" s="1369">
        <f t="shared" ca="1" si="806"/>
        <v>-761540.845335969</v>
      </c>
      <c r="J1208" s="1369">
        <f t="shared" ca="1" si="806"/>
        <v>-281840.45829997584</v>
      </c>
      <c r="K1208" s="1369">
        <f t="shared" ca="1" si="806"/>
        <v>-357256.15830286831</v>
      </c>
      <c r="L1208" s="1369">
        <f t="shared" ca="1" si="806"/>
        <v>1305902.8051232728</v>
      </c>
      <c r="M1208" s="1369">
        <f t="shared" ca="1" si="806"/>
        <v>1734438.0116514824</v>
      </c>
      <c r="N1208" s="1369">
        <f t="shared" ca="1" si="806"/>
        <v>2594656.1580230654</v>
      </c>
      <c r="O1208" s="1369">
        <f t="shared" ca="1" si="806"/>
        <v>3502168.1138907536</v>
      </c>
      <c r="P1208" s="1369">
        <f t="shared" ca="1" si="806"/>
        <v>4714520.0547505487</v>
      </c>
      <c r="Q1208" s="1369">
        <f t="shared" ca="1" si="806"/>
        <v>4416846.7533868337</v>
      </c>
      <c r="R1208" s="1360"/>
      <c r="S1208" s="1358" t="s">
        <v>40</v>
      </c>
      <c r="T1208" s="1361"/>
    </row>
    <row r="1209" spans="1:20" ht="11.25" hidden="1" customHeight="1" x14ac:dyDescent="0.35">
      <c r="A1209" s="319"/>
      <c r="B1209" s="1358"/>
      <c r="C1209" s="1358" t="s">
        <v>1700</v>
      </c>
      <c r="D1209" s="1358"/>
      <c r="E1209" s="1358" t="s">
        <v>1701</v>
      </c>
      <c r="F1209" s="1369"/>
      <c r="G1209" s="1369">
        <f ca="1">G1208</f>
        <v>0</v>
      </c>
      <c r="H1209" s="1369">
        <f t="shared" ref="H1209:R1209" ca="1" si="807">OFFSET(H1209,0,-1)+H1208</f>
        <v>-2537900</v>
      </c>
      <c r="I1209" s="1369">
        <f t="shared" ca="1" si="807"/>
        <v>-3299440.8453359688</v>
      </c>
      <c r="J1209" s="1369">
        <f t="shared" ca="1" si="807"/>
        <v>-3581281.3036359446</v>
      </c>
      <c r="K1209" s="1369">
        <f t="shared" ca="1" si="807"/>
        <v>-3938537.4619388129</v>
      </c>
      <c r="L1209" s="1369">
        <f t="shared" ca="1" si="807"/>
        <v>-2632634.65681554</v>
      </c>
      <c r="M1209" s="1369">
        <f t="shared" ref="M1209:N1209" ca="1" si="808">OFFSET(M1209,0,-1)+M1208</f>
        <v>-898196.64516405761</v>
      </c>
      <c r="N1209" s="1369">
        <f t="shared" ca="1" si="808"/>
        <v>1696459.5128590078</v>
      </c>
      <c r="O1209" s="1369">
        <f t="shared" ref="O1209:P1209" ca="1" si="809">OFFSET(O1209,0,-1)+O1208</f>
        <v>5198627.6267497614</v>
      </c>
      <c r="P1209" s="1369">
        <f t="shared" ca="1" si="809"/>
        <v>9913147.6815003101</v>
      </c>
      <c r="Q1209" s="1369">
        <f t="shared" ca="1" si="807"/>
        <v>14329994.434887145</v>
      </c>
      <c r="R1209" s="1369">
        <f t="shared" ca="1" si="807"/>
        <v>14329994.434887145</v>
      </c>
      <c r="S1209" s="1358" t="s">
        <v>40</v>
      </c>
      <c r="T1209" s="1361"/>
    </row>
    <row r="1210" spans="1:20" ht="11.25" hidden="1" customHeight="1" x14ac:dyDescent="0.35">
      <c r="A1210" s="319"/>
      <c r="B1210" s="1358"/>
      <c r="C1210" s="1358"/>
      <c r="D1210" s="1358"/>
      <c r="E1210" s="1358" t="s">
        <v>1702</v>
      </c>
      <c r="F1210" s="1362">
        <v>-1.0000000000000001E-9</v>
      </c>
      <c r="G1210" s="1359">
        <f ca="1">IF(G$1213&lt;0,G$1213,IF(SUMIF(G$1213:$Q$1213,"&lt;0")=0,G$1213,OFFSET(G1210,0,-1)))</f>
        <v>-1.0000000000000001E-9</v>
      </c>
      <c r="H1210" s="1359">
        <f ca="1">IF(H$1213&lt;0,H$1213,IF(SUMIF(H$1213:$Q$1213,"&lt;0")=0,H$1213,OFFSET(H1210,0,-1)))</f>
        <v>-2537900.0000000009</v>
      </c>
      <c r="I1210" s="1359">
        <f ca="1">IF(I$1213&lt;0,I$1213,IF(SUMIF(I$1213:$Q$1213,"&lt;0")=0,I$1213,OFFSET(I1210,0,-1)))</f>
        <v>-3299440.8453359697</v>
      </c>
      <c r="J1210" s="1359">
        <f ca="1">IF(J$1213&lt;0,J$1213,IF(SUMIF(J$1213:$Q$1213,"&lt;0")=0,J$1213,OFFSET(J1210,0,-1)))</f>
        <v>-3581281.3036359455</v>
      </c>
      <c r="K1210" s="1359">
        <f ca="1">IF(K$1213&lt;0,K$1213,IF(SUMIF(K$1213:$Q$1213,"&lt;0")=0,K$1213,OFFSET(K1210,0,-1)))</f>
        <v>-3938537.4619388138</v>
      </c>
      <c r="L1210" s="1359">
        <f ca="1">IF(L$1213&lt;0,L$1213,IF(SUMIF(L$1213:$Q$1213,"&lt;0")=0,L$1213,OFFSET(L1210,0,-1)))</f>
        <v>-2632634.656815541</v>
      </c>
      <c r="M1210" s="1359">
        <f ca="1">IF(M$1213&lt;0,M$1213,IF(SUMIF(M$1213:$Q$1213,"&lt;0")=0,M$1213,OFFSET(M1210,0,-1)))</f>
        <v>-898196.64516405866</v>
      </c>
      <c r="N1210" s="1359">
        <f ca="1">IF(N$1213&lt;0,N$1213,IF(SUMIF(N$1213:$Q$1213,"&lt;0")=0,N$1213,OFFSET(N1210,0,-1)))</f>
        <v>1696459.5128590069</v>
      </c>
      <c r="O1210" s="1359">
        <f ca="1">IF(O$1213&lt;0,O$1213,IF(SUMIF(O$1213:$Q$1213,"&lt;0")=0,O$1213,OFFSET(O1210,0,-1)))</f>
        <v>5198627.6267497605</v>
      </c>
      <c r="P1210" s="1359">
        <f ca="1">IF(P$1213&lt;0,P$1213,IF(SUMIF(P$1213:$Q$1213,"&lt;0")=0,P$1213,OFFSET(P1210,0,-1)))</f>
        <v>9913147.6815003082</v>
      </c>
      <c r="Q1210" s="1369"/>
      <c r="R1210" s="1360"/>
      <c r="S1210" s="1358" t="s">
        <v>40</v>
      </c>
      <c r="T1210" s="1361"/>
    </row>
    <row r="1211" spans="1:20" ht="11.25" hidden="1" customHeight="1" x14ac:dyDescent="0.35">
      <c r="A1211" s="319"/>
      <c r="B1211" s="1358"/>
      <c r="C1211" s="1358"/>
      <c r="D1211" s="1358"/>
      <c r="E1211" s="1358" t="s">
        <v>1703</v>
      </c>
      <c r="F1211" s="1369"/>
      <c r="G1211" s="1359">
        <f ca="1">IF(G$5=-99,OFFSET(G1211,0,-1),IF(G$5&lt;CalcPointPB,-0.000000001,G$1065))</f>
        <v>0</v>
      </c>
      <c r="H1211" s="1359">
        <f t="shared" ref="H1211:P1211" ca="1" si="810">IF(H$5=-99,OFFSET(H1211,0,-1),IF(H$5&lt;CalcPointPB,-0.000000001,H$1065))</f>
        <v>1</v>
      </c>
      <c r="I1211" s="1359">
        <f t="shared" ca="1" si="810"/>
        <v>2</v>
      </c>
      <c r="J1211" s="1359">
        <f t="shared" ca="1" si="810"/>
        <v>3</v>
      </c>
      <c r="K1211" s="1359">
        <f t="shared" ca="1" si="810"/>
        <v>4</v>
      </c>
      <c r="L1211" s="1359">
        <f t="shared" ca="1" si="810"/>
        <v>16</v>
      </c>
      <c r="M1211" s="1359">
        <f t="shared" ca="1" si="810"/>
        <v>28</v>
      </c>
      <c r="N1211" s="1359">
        <f t="shared" ca="1" si="810"/>
        <v>40</v>
      </c>
      <c r="O1211" s="1359">
        <f t="shared" ca="1" si="810"/>
        <v>52</v>
      </c>
      <c r="P1211" s="1359">
        <f t="shared" ca="1" si="810"/>
        <v>64</v>
      </c>
      <c r="Q1211" s="1369"/>
      <c r="R1211" s="1360"/>
      <c r="S1211" s="1358" t="s">
        <v>40</v>
      </c>
      <c r="T1211" s="1361"/>
    </row>
    <row r="1212" spans="1:20" ht="11.25" hidden="1" customHeight="1" x14ac:dyDescent="0.35">
      <c r="A1212" s="319"/>
      <c r="B1212" s="1358"/>
      <c r="C1212" s="1358"/>
      <c r="D1212" s="1358"/>
      <c r="E1212" s="1358" t="s">
        <v>1704</v>
      </c>
      <c r="F1212" s="1369"/>
      <c r="G1212" s="1359" t="str">
        <f t="shared" ref="G1212:P1212" si="811">G$631</f>
        <v>9/2019</v>
      </c>
      <c r="H1212" s="1359" t="str">
        <f t="shared" si="811"/>
        <v>9/2019</v>
      </c>
      <c r="I1212" s="1359" t="str">
        <f t="shared" si="811"/>
        <v>10/2019</v>
      </c>
      <c r="J1212" s="1359" t="str">
        <f t="shared" si="811"/>
        <v>11/2019</v>
      </c>
      <c r="K1212" s="1359" t="str">
        <f t="shared" si="811"/>
        <v>12/2019</v>
      </c>
      <c r="L1212" s="1359" t="str">
        <f t="shared" si="811"/>
        <v>12/2020</v>
      </c>
      <c r="M1212" s="1359" t="str">
        <f t="shared" si="811"/>
        <v>12/2021</v>
      </c>
      <c r="N1212" s="1359" t="str">
        <f t="shared" si="811"/>
        <v>12/2022</v>
      </c>
      <c r="O1212" s="1359" t="str">
        <f t="shared" si="811"/>
        <v>12/2023</v>
      </c>
      <c r="P1212" s="1359" t="str">
        <f t="shared" si="811"/>
        <v>12/2024</v>
      </c>
      <c r="Q1212" s="1369"/>
      <c r="R1212" s="1360"/>
      <c r="S1212" s="1358" t="s">
        <v>40</v>
      </c>
      <c r="T1212" s="1361"/>
    </row>
    <row r="1213" spans="1:20" ht="11.25" hidden="1" customHeight="1" x14ac:dyDescent="0.35">
      <c r="A1213" s="319"/>
      <c r="B1213" s="1358"/>
      <c r="C1213" s="1358"/>
      <c r="D1213" s="1358"/>
      <c r="E1213" s="1358" t="s">
        <v>1705</v>
      </c>
      <c r="F1213" s="1369"/>
      <c r="G1213" s="1359">
        <f ca="1">G$1209-0.000000001</f>
        <v>-1.0000000000000001E-9</v>
      </c>
      <c r="H1213" s="1359">
        <f t="shared" ref="H1213:P1213" ca="1" si="812">H$1209-0.000000001</f>
        <v>-2537900.0000000009</v>
      </c>
      <c r="I1213" s="1359">
        <f t="shared" ca="1" si="812"/>
        <v>-3299440.8453359697</v>
      </c>
      <c r="J1213" s="1359">
        <f t="shared" ca="1" si="812"/>
        <v>-3581281.3036359455</v>
      </c>
      <c r="K1213" s="1359">
        <f t="shared" ca="1" si="812"/>
        <v>-3938537.4619388138</v>
      </c>
      <c r="L1213" s="1359">
        <f t="shared" ca="1" si="812"/>
        <v>-2632634.656815541</v>
      </c>
      <c r="M1213" s="1359">
        <f t="shared" ca="1" si="812"/>
        <v>-898196.64516405866</v>
      </c>
      <c r="N1213" s="1359">
        <f t="shared" ca="1" si="812"/>
        <v>1696459.5128590069</v>
      </c>
      <c r="O1213" s="1359">
        <f t="shared" ca="1" si="812"/>
        <v>5198627.6267497605</v>
      </c>
      <c r="P1213" s="1359">
        <f t="shared" ca="1" si="812"/>
        <v>9913147.6815003082</v>
      </c>
      <c r="Q1213" s="1369"/>
      <c r="R1213" s="1360"/>
      <c r="S1213" s="1358" t="s">
        <v>40</v>
      </c>
      <c r="T1213" s="1361"/>
    </row>
    <row r="1214" spans="1:20" ht="11.25" hidden="1" customHeight="1" x14ac:dyDescent="0.35">
      <c r="A1214" s="319"/>
      <c r="B1214" s="1358"/>
      <c r="C1214" s="1358"/>
      <c r="D1214" s="1358"/>
      <c r="E1214" s="1358" t="s">
        <v>1706</v>
      </c>
      <c r="F1214" s="1369">
        <v>-1.0000000000000001E-9</v>
      </c>
      <c r="G1214" s="1369">
        <f ca="1">IF(G$1217&lt;0,G$1217,IF(SUMIF(G$1217:$Q$1217,"&lt;0")=0,G$1217,OFFSET(G1214,0,-1)))</f>
        <v>-1.0000000000000001E-9</v>
      </c>
      <c r="H1214" s="1369">
        <f ca="1">IF(H$1217&lt;0,H$1217,IF(SUMIF(H$1217:$Q$1217,"&lt;0")=0,H$1217,OFFSET(H1214,0,-1)))</f>
        <v>-1.0000000000000001E-9</v>
      </c>
      <c r="I1214" s="1369">
        <f ca="1">IF(I$1217&lt;0,I$1217,IF(SUMIF(I$1217:$Q$1217,"&lt;0")=0,I$1217,OFFSET(I1214,0,-1)))</f>
        <v>-1.0000000000000001E-9</v>
      </c>
      <c r="J1214" s="1369">
        <f ca="1">IF(J$1217&lt;0,J$1217,IF(SUMIF(J$1217:$Q$1217,"&lt;0")=0,J$1217,OFFSET(J1214,0,-1)))</f>
        <v>-1.0000000000000001E-9</v>
      </c>
      <c r="K1214" s="1369">
        <f ca="1">IF(K$1217&lt;0,K$1217,IF(SUMIF(K$1217:$Q$1217,"&lt;0")=0,K$1217,OFFSET(K1214,0,-1)))</f>
        <v>90894.945637514742</v>
      </c>
      <c r="L1214" s="1369">
        <f ca="1">IF(L$1217&lt;0,L$1217,IF(SUMIF(L$1217:$Q$1217,"&lt;0")=0,L$1217,OFFSET(L1214,0,-1)))</f>
        <v>1150230.4295397559</v>
      </c>
      <c r="M1214" s="1369">
        <f ca="1">IF(M$1217&lt;0,M$1217,IF(SUMIF(M$1217:$Q$1217,"&lt;0")=0,M$1217,OFFSET(M1214,0,-1)))</f>
        <v>2870782.0949758217</v>
      </c>
      <c r="N1214" s="1369">
        <f ca="1">IF(N$1217&lt;0,N$1217,IF(SUMIF(N$1217:$Q$1217,"&lt;0")=0,N$1217,OFFSET(N1214,0,-1)))</f>
        <v>5363167.4604398264</v>
      </c>
      <c r="O1214" s="1369">
        <f ca="1">IF(O$1217&lt;0,O$1217,IF(SUMIF(O$1217:$Q$1217,"&lt;0")=0,O$1217,OFFSET(O1214,0,-1)))</f>
        <v>8742024.7861015778</v>
      </c>
      <c r="P1214" s="1369">
        <f ca="1">IF(P$1217&lt;0,P$1217,IF(SUMIF(P$1217:$Q$1217,"&lt;0")=0,P$1217,OFFSET(P1214,0,-1)))</f>
        <v>13164110.943223225</v>
      </c>
      <c r="Q1214" s="1369"/>
      <c r="R1214" s="1360"/>
      <c r="S1214" s="1358" t="s">
        <v>40</v>
      </c>
      <c r="T1214" s="1361"/>
    </row>
    <row r="1215" spans="1:20" ht="11.25" hidden="1" customHeight="1" x14ac:dyDescent="0.35">
      <c r="A1215" s="319"/>
      <c r="B1215" s="1358"/>
      <c r="C1215" s="1358"/>
      <c r="D1215" s="1358"/>
      <c r="E1215" s="1358" t="s">
        <v>1707</v>
      </c>
      <c r="F1215" s="1369"/>
      <c r="G1215" s="1369">
        <f ca="1">IF(G$5=-99,OFFSET(G1215,0,-1),IF(G$5&lt;CalcPointPB,-0.000000001,G$1065))</f>
        <v>0</v>
      </c>
      <c r="H1215" s="1369">
        <f t="shared" ref="H1215:P1215" ca="1" si="813">IF(H$5=-99,OFFSET(H1215,0,-1),IF(H$5&lt;CalcPointPB,-0.000000001,H$1065))</f>
        <v>1</v>
      </c>
      <c r="I1215" s="1369">
        <f t="shared" ca="1" si="813"/>
        <v>2</v>
      </c>
      <c r="J1215" s="1369">
        <f t="shared" ca="1" si="813"/>
        <v>3</v>
      </c>
      <c r="K1215" s="1369">
        <f t="shared" ca="1" si="813"/>
        <v>4</v>
      </c>
      <c r="L1215" s="1369">
        <f t="shared" ca="1" si="813"/>
        <v>16</v>
      </c>
      <c r="M1215" s="1369">
        <f t="shared" ca="1" si="813"/>
        <v>28</v>
      </c>
      <c r="N1215" s="1369">
        <f t="shared" ca="1" si="813"/>
        <v>40</v>
      </c>
      <c r="O1215" s="1369">
        <f t="shared" ca="1" si="813"/>
        <v>52</v>
      </c>
      <c r="P1215" s="1369">
        <f t="shared" ca="1" si="813"/>
        <v>64</v>
      </c>
      <c r="Q1215" s="1369"/>
      <c r="R1215" s="1360"/>
      <c r="S1215" s="1358" t="s">
        <v>40</v>
      </c>
      <c r="T1215" s="1361"/>
    </row>
    <row r="1216" spans="1:20" ht="11.25" hidden="1" customHeight="1" x14ac:dyDescent="0.35">
      <c r="A1216" s="319"/>
      <c r="B1216" s="1358"/>
      <c r="C1216" s="1358"/>
      <c r="D1216" s="1358"/>
      <c r="E1216" s="1358" t="s">
        <v>1708</v>
      </c>
      <c r="F1216" s="1359" t="s">
        <v>1493</v>
      </c>
      <c r="G1216" s="1359" t="str">
        <f t="shared" ref="G1216:P1216" si="814">G$631</f>
        <v>9/2019</v>
      </c>
      <c r="H1216" s="1359" t="str">
        <f t="shared" si="814"/>
        <v>9/2019</v>
      </c>
      <c r="I1216" s="1359" t="str">
        <f t="shared" si="814"/>
        <v>10/2019</v>
      </c>
      <c r="J1216" s="1359" t="str">
        <f t="shared" si="814"/>
        <v>11/2019</v>
      </c>
      <c r="K1216" s="1359" t="str">
        <f t="shared" si="814"/>
        <v>12/2019</v>
      </c>
      <c r="L1216" s="1359" t="str">
        <f t="shared" si="814"/>
        <v>12/2020</v>
      </c>
      <c r="M1216" s="1359" t="str">
        <f t="shared" si="814"/>
        <v>12/2021</v>
      </c>
      <c r="N1216" s="1359" t="str">
        <f t="shared" si="814"/>
        <v>12/2022</v>
      </c>
      <c r="O1216" s="1359" t="str">
        <f t="shared" si="814"/>
        <v>12/2023</v>
      </c>
      <c r="P1216" s="1359" t="str">
        <f t="shared" si="814"/>
        <v>12/2024</v>
      </c>
      <c r="Q1216" s="1359" t="s">
        <v>1493</v>
      </c>
      <c r="R1216" s="1360"/>
      <c r="S1216" s="1358" t="s">
        <v>40</v>
      </c>
      <c r="T1216" s="1361"/>
    </row>
    <row r="1217" spans="1:20" ht="11.25" hidden="1" customHeight="1" x14ac:dyDescent="0.35">
      <c r="A1217" s="319"/>
      <c r="B1217" s="1358"/>
      <c r="C1217" s="1358"/>
      <c r="D1217" s="1358"/>
      <c r="E1217" s="1358" t="s">
        <v>1709</v>
      </c>
      <c r="F1217" s="1369"/>
      <c r="G1217" s="1369">
        <f t="shared" ref="G1217:P1217" si="815">G$518-0.000000001</f>
        <v>-1.0000000000000001E-9</v>
      </c>
      <c r="H1217" s="1369">
        <f t="shared" ca="1" si="815"/>
        <v>-1.0000000000000001E-9</v>
      </c>
      <c r="I1217" s="1369">
        <f t="shared" ca="1" si="815"/>
        <v>-1.0000000000000001E-9</v>
      </c>
      <c r="J1217" s="1369">
        <f t="shared" ca="1" si="815"/>
        <v>-1.0000000000000001E-9</v>
      </c>
      <c r="K1217" s="1369">
        <f t="shared" ca="1" si="815"/>
        <v>90894.945637514742</v>
      </c>
      <c r="L1217" s="1369">
        <f t="shared" ca="1" si="815"/>
        <v>1150230.4295397559</v>
      </c>
      <c r="M1217" s="1369">
        <f t="shared" ca="1" si="815"/>
        <v>2870782.0949758217</v>
      </c>
      <c r="N1217" s="1369">
        <f t="shared" ca="1" si="815"/>
        <v>5363167.4604398264</v>
      </c>
      <c r="O1217" s="1369">
        <f t="shared" ca="1" si="815"/>
        <v>8742024.7861015778</v>
      </c>
      <c r="P1217" s="1369">
        <f t="shared" ca="1" si="815"/>
        <v>13164110.943223225</v>
      </c>
      <c r="Q1217" s="1369"/>
      <c r="R1217" s="1360"/>
      <c r="S1217" s="1358" t="s">
        <v>40</v>
      </c>
      <c r="T1217" s="1361"/>
    </row>
    <row r="1218" spans="1:20" ht="11.25" hidden="1" customHeight="1" x14ac:dyDescent="0.35">
      <c r="A1218" s="319"/>
      <c r="B1218" s="1358"/>
      <c r="C1218" s="1358" t="s">
        <v>1710</v>
      </c>
      <c r="D1218" s="1358"/>
      <c r="E1218" s="1358" t="s">
        <v>1711</v>
      </c>
      <c r="F1218" s="1369"/>
      <c r="G1218" s="1369">
        <f>IF(NoZeroCol&lt;&gt;1,G680,0)+IF(InvOrAcq=2,G$1063,0)</f>
        <v>0</v>
      </c>
      <c r="H1218" s="1369">
        <f t="shared" ref="H1218:P1218" ca="1" si="816">H$680+IF(OFFSET(H$5,0,1)=-99,IF(NoResCol&lt;&gt;1,OFFSET(H$680,0,1),0)+IF(UsePerpetuity=1,PerpetuityValue,0),0)</f>
        <v>-2537900</v>
      </c>
      <c r="I1218" s="1369">
        <f t="shared" ca="1" si="816"/>
        <v>-761540.845335969</v>
      </c>
      <c r="J1218" s="1369">
        <f t="shared" ca="1" si="816"/>
        <v>-281840.45829997584</v>
      </c>
      <c r="K1218" s="1369">
        <f t="shared" ca="1" si="816"/>
        <v>-357256.15830286831</v>
      </c>
      <c r="L1218" s="1369">
        <f t="shared" ca="1" si="816"/>
        <v>1305902.8051232728</v>
      </c>
      <c r="M1218" s="1369">
        <f t="shared" ca="1" si="816"/>
        <v>1734438.0116514824</v>
      </c>
      <c r="N1218" s="1369">
        <f t="shared" ca="1" si="816"/>
        <v>2594656.1580230654</v>
      </c>
      <c r="O1218" s="1369">
        <f t="shared" ca="1" si="816"/>
        <v>3502168.1138907536</v>
      </c>
      <c r="P1218" s="1369">
        <f t="shared" ca="1" si="816"/>
        <v>9131366.8081373833</v>
      </c>
      <c r="Q1218" s="1369">
        <v>0</v>
      </c>
      <c r="R1218" s="1360"/>
      <c r="S1218" s="1358" t="s">
        <v>40</v>
      </c>
      <c r="T1218" s="1361"/>
    </row>
    <row r="1219" spans="1:20" ht="11.25" hidden="1" customHeight="1" x14ac:dyDescent="0.35">
      <c r="A1219" s="319"/>
      <c r="B1219" s="1358"/>
      <c r="C1219" s="1358" t="s">
        <v>1712</v>
      </c>
      <c r="D1219" s="1358"/>
      <c r="E1219" s="1358" t="s">
        <v>1713</v>
      </c>
      <c r="F1219" s="1369"/>
      <c r="G1219" s="1369">
        <f>IF(CalculatedDepreciation,G$326,G$321)</f>
        <v>0</v>
      </c>
      <c r="H1219" s="1369">
        <f t="shared" ref="H1219:P1219" ca="1" si="817">IF(CalculatedDepreciation,H$326,H$321)+IF(RIGHT(OFFSET(H$6,0,-1),4)=RIGHT(H$6,4),OFFSET(IF(CalculatedDepreciation,H$326,H$321),0,-1),0)</f>
        <v>0</v>
      </c>
      <c r="I1219" s="1369">
        <f t="shared" ca="1" si="817"/>
        <v>0</v>
      </c>
      <c r="J1219" s="1369">
        <f t="shared" ca="1" si="817"/>
        <v>0</v>
      </c>
      <c r="K1219" s="1369">
        <f t="shared" ca="1" si="817"/>
        <v>0</v>
      </c>
      <c r="L1219" s="1369">
        <f t="shared" ca="1" si="817"/>
        <v>0</v>
      </c>
      <c r="M1219" s="1369">
        <f t="shared" ca="1" si="817"/>
        <v>0</v>
      </c>
      <c r="N1219" s="1369">
        <f t="shared" ca="1" si="817"/>
        <v>0</v>
      </c>
      <c r="O1219" s="1369">
        <f t="shared" ca="1" si="817"/>
        <v>0</v>
      </c>
      <c r="P1219" s="1369">
        <f t="shared" ca="1" si="817"/>
        <v>0</v>
      </c>
      <c r="Q1219" s="1369">
        <f ca="1">IF(CalculatedDepreciation,Q$326,Q$321)</f>
        <v>-1067306.4778645835</v>
      </c>
      <c r="R1219" s="1360"/>
      <c r="S1219" s="1358" t="s">
        <v>40</v>
      </c>
      <c r="T1219" s="1361"/>
    </row>
    <row r="1220" spans="1:20" ht="11.25" hidden="1" customHeight="1" x14ac:dyDescent="0.35">
      <c r="A1220" s="319"/>
      <c r="B1220" s="1358"/>
      <c r="C1220" s="1358" t="s">
        <v>1714</v>
      </c>
      <c r="D1220" s="1358"/>
      <c r="E1220" s="1358" t="s">
        <v>1715</v>
      </c>
      <c r="F1220" s="1369"/>
      <c r="G1220" s="1369">
        <f>G$332</f>
        <v>0</v>
      </c>
      <c r="H1220" s="1369">
        <f t="shared" ref="H1220:P1220" ca="1" si="818">H$332+IF(RIGHT(OFFSET(H$6,0,-1),4)=RIGHT(H$6,4),OFFSET(H$332,0,-1),0)</f>
        <v>0</v>
      </c>
      <c r="I1220" s="1369">
        <f t="shared" ca="1" si="818"/>
        <v>0</v>
      </c>
      <c r="J1220" s="1369">
        <f t="shared" ca="1" si="818"/>
        <v>0</v>
      </c>
      <c r="K1220" s="1369">
        <f t="shared" ca="1" si="818"/>
        <v>0</v>
      </c>
      <c r="L1220" s="1369">
        <f t="shared" ca="1" si="818"/>
        <v>0</v>
      </c>
      <c r="M1220" s="1369">
        <f t="shared" ca="1" si="818"/>
        <v>0</v>
      </c>
      <c r="N1220" s="1369">
        <f t="shared" ca="1" si="818"/>
        <v>0</v>
      </c>
      <c r="O1220" s="1369">
        <f t="shared" ca="1" si="818"/>
        <v>0</v>
      </c>
      <c r="P1220" s="1369">
        <f t="shared" ca="1" si="818"/>
        <v>0</v>
      </c>
      <c r="Q1220" s="1369">
        <f>Q$332</f>
        <v>0</v>
      </c>
      <c r="R1220" s="1360"/>
      <c r="S1220" s="1358" t="s">
        <v>40</v>
      </c>
      <c r="T1220" s="1361"/>
    </row>
    <row r="1221" spans="1:20" ht="11.25" hidden="1" customHeight="1" x14ac:dyDescent="0.35">
      <c r="A1221" s="319"/>
      <c r="B1221" s="1358"/>
      <c r="C1221" s="1358"/>
      <c r="D1221" s="1358"/>
      <c r="E1221" s="1358" t="s">
        <v>1716</v>
      </c>
      <c r="F1221" s="1369">
        <v>-1.0000000000000001E-9</v>
      </c>
      <c r="G1221" s="1369">
        <f ca="1">IF(G1224&lt;0,G1224,IF(SUMIF(G1224:$Q1224,"&lt;0")=0,G1224,OFFSET(G1221,0,-1)))</f>
        <v>-1.0000000000000001E-9</v>
      </c>
      <c r="H1221" s="1369">
        <f ca="1">IF(H1224&lt;0,H1224,IF(SUMIF(H1224:$Q1224,"&lt;0")=0,H1224,OFFSET(H1221,0,-1)))</f>
        <v>-2537900.0000000009</v>
      </c>
      <c r="I1221" s="1369">
        <f ca="1">IF(I1224&lt;0,I1224,IF(SUMIF(I1224:$Q1224,"&lt;0")=0,I1224,OFFSET(I1221,0,-1)))</f>
        <v>-3299440.8453359697</v>
      </c>
      <c r="J1221" s="1369">
        <f ca="1">IF(J1224&lt;0,J1224,IF(SUMIF(J1224:$Q1224,"&lt;0")=0,J1224,OFFSET(J1221,0,-1)))</f>
        <v>-3581281.3036359455</v>
      </c>
      <c r="K1221" s="1369">
        <f ca="1">IF(K1224&lt;0,K1224,IF(SUMIF(K1224:$Q1224,"&lt;0")=0,K1224,OFFSET(K1221,0,-1)))</f>
        <v>-3938537.4619388138</v>
      </c>
      <c r="L1221" s="1369">
        <f ca="1">IF(L1224&lt;0,L1224,IF(SUMIF(L1224:$Q1224,"&lt;0")=0,L1224,OFFSET(L1221,0,-1)))</f>
        <v>-2632634.656815541</v>
      </c>
      <c r="M1221" s="1369">
        <f ca="1">IF(M1224&lt;0,M1224,IF(SUMIF(M1224:$Q1224,"&lt;0")=0,M1224,OFFSET(M1221,0,-1)))</f>
        <v>-898196.64516405854</v>
      </c>
      <c r="N1221" s="1369">
        <f ca="1">IF(N1224&lt;0,N1224,IF(SUMIF(N1224:$Q1224,"&lt;0")=0,N1224,OFFSET(N1221,0,-1)))</f>
        <v>1696459.5128590069</v>
      </c>
      <c r="O1221" s="1369">
        <f ca="1">IF(O1224&lt;0,O1224,IF(SUMIF(O1224:$Q1224,"&lt;0")=0,O1224,OFFSET(O1221,0,-1)))</f>
        <v>5198627.6267497605</v>
      </c>
      <c r="P1221" s="1369">
        <f ca="1">IF(P1224&lt;0,P1224,IF(SUMIF(P1224:$Q1224,"&lt;0")=0,P1224,OFFSET(P1221,0,-1)))</f>
        <v>9913147.6815003082</v>
      </c>
      <c r="Q1221" s="1369"/>
      <c r="R1221" s="1360"/>
      <c r="S1221" s="1358" t="s">
        <v>40</v>
      </c>
      <c r="T1221" s="1361"/>
    </row>
    <row r="1222" spans="1:20" ht="11.25" hidden="1" customHeight="1" x14ac:dyDescent="0.35">
      <c r="A1222" s="319"/>
      <c r="B1222" s="1358"/>
      <c r="C1222" s="1358"/>
      <c r="D1222" s="1358"/>
      <c r="E1222" s="1358" t="s">
        <v>1717</v>
      </c>
      <c r="F1222" s="1369"/>
      <c r="G1222" s="1369">
        <f t="shared" ref="G1222:L1223" ca="1" si="819">G1211</f>
        <v>0</v>
      </c>
      <c r="H1222" s="1369">
        <f t="shared" ca="1" si="819"/>
        <v>1</v>
      </c>
      <c r="I1222" s="1369">
        <f t="shared" ca="1" si="819"/>
        <v>2</v>
      </c>
      <c r="J1222" s="1369">
        <f t="shared" ca="1" si="819"/>
        <v>3</v>
      </c>
      <c r="K1222" s="1369">
        <f t="shared" ca="1" si="819"/>
        <v>4</v>
      </c>
      <c r="L1222" s="1369">
        <f t="shared" ca="1" si="819"/>
        <v>16</v>
      </c>
      <c r="M1222" s="1369">
        <f t="shared" ref="M1222:N1222" ca="1" si="820">M1211</f>
        <v>28</v>
      </c>
      <c r="N1222" s="1369">
        <f t="shared" ca="1" si="820"/>
        <v>40</v>
      </c>
      <c r="O1222" s="1369">
        <f t="shared" ref="O1222:P1222" ca="1" si="821">O1211</f>
        <v>52</v>
      </c>
      <c r="P1222" s="1369">
        <f t="shared" ca="1" si="821"/>
        <v>64</v>
      </c>
      <c r="Q1222" s="1369"/>
      <c r="R1222" s="1360"/>
      <c r="S1222" s="1358" t="s">
        <v>40</v>
      </c>
      <c r="T1222" s="1361"/>
    </row>
    <row r="1223" spans="1:20" ht="11.25" hidden="1" customHeight="1" x14ac:dyDescent="0.35">
      <c r="A1223" s="319"/>
      <c r="B1223" s="1358"/>
      <c r="C1223" s="1358"/>
      <c r="D1223" s="1358"/>
      <c r="E1223" s="1358" t="s">
        <v>1718</v>
      </c>
      <c r="F1223" s="1359" t="s">
        <v>1493</v>
      </c>
      <c r="G1223" s="1359" t="str">
        <f t="shared" si="819"/>
        <v>9/2019</v>
      </c>
      <c r="H1223" s="1359" t="str">
        <f t="shared" si="819"/>
        <v>9/2019</v>
      </c>
      <c r="I1223" s="1359" t="str">
        <f t="shared" si="819"/>
        <v>10/2019</v>
      </c>
      <c r="J1223" s="1359" t="str">
        <f t="shared" si="819"/>
        <v>11/2019</v>
      </c>
      <c r="K1223" s="1359" t="str">
        <f t="shared" si="819"/>
        <v>12/2019</v>
      </c>
      <c r="L1223" s="1359" t="str">
        <f t="shared" si="819"/>
        <v>12/2020</v>
      </c>
      <c r="M1223" s="1359" t="str">
        <f t="shared" ref="M1223:N1223" si="822">M1212</f>
        <v>12/2021</v>
      </c>
      <c r="N1223" s="1359" t="str">
        <f t="shared" si="822"/>
        <v>12/2022</v>
      </c>
      <c r="O1223" s="1359" t="str">
        <f t="shared" ref="O1223:P1223" si="823">O1212</f>
        <v>12/2023</v>
      </c>
      <c r="P1223" s="1359" t="str">
        <f t="shared" si="823"/>
        <v>12/2024</v>
      </c>
      <c r="Q1223" s="1369"/>
      <c r="R1223" s="1360"/>
      <c r="S1223" s="1358" t="s">
        <v>40</v>
      </c>
      <c r="T1223" s="1361"/>
    </row>
    <row r="1224" spans="1:20" ht="11.25" hidden="1" customHeight="1" x14ac:dyDescent="0.35">
      <c r="A1224" s="319"/>
      <c r="B1224" s="1358"/>
      <c r="C1224" s="1358"/>
      <c r="D1224" s="1358"/>
      <c r="E1224" s="1358" t="s">
        <v>1719</v>
      </c>
      <c r="F1224" s="1369">
        <v>-1.0000000000000001E-9</v>
      </c>
      <c r="G1224" s="1369">
        <f>G$680-0.000000001</f>
        <v>-1.0000000000000001E-9</v>
      </c>
      <c r="H1224" s="1369">
        <f t="shared" ref="H1224:P1224" ca="1" si="824">OFFSET(H1224,0,-1)+H$680</f>
        <v>-2537900.0000000009</v>
      </c>
      <c r="I1224" s="1369">
        <f t="shared" ca="1" si="824"/>
        <v>-3299440.8453359697</v>
      </c>
      <c r="J1224" s="1369">
        <f t="shared" ca="1" si="824"/>
        <v>-3581281.3036359455</v>
      </c>
      <c r="K1224" s="1369">
        <f t="shared" ca="1" si="824"/>
        <v>-3938537.4619388138</v>
      </c>
      <c r="L1224" s="1369">
        <f t="shared" ca="1" si="824"/>
        <v>-2632634.656815541</v>
      </c>
      <c r="M1224" s="1369">
        <f t="shared" ca="1" si="824"/>
        <v>-898196.64516405854</v>
      </c>
      <c r="N1224" s="1369">
        <f t="shared" ca="1" si="824"/>
        <v>1696459.5128590069</v>
      </c>
      <c r="O1224" s="1369">
        <f t="shared" ca="1" si="824"/>
        <v>5198627.6267497605</v>
      </c>
      <c r="P1224" s="1369">
        <f t="shared" ca="1" si="824"/>
        <v>9913147.6815003082</v>
      </c>
      <c r="Q1224" s="1369"/>
      <c r="R1224" s="1360"/>
      <c r="S1224" s="1358" t="s">
        <v>40</v>
      </c>
      <c r="T1224" s="1361"/>
    </row>
    <row r="1225" spans="1:20" ht="11.25" hidden="1" customHeight="1" x14ac:dyDescent="0.35">
      <c r="A1225" s="319"/>
      <c r="B1225" s="1358"/>
      <c r="C1225" s="1358"/>
      <c r="D1225" s="1358"/>
      <c r="E1225" s="1358" t="s">
        <v>1720</v>
      </c>
      <c r="F1225" s="1369">
        <v>-1.0000000000000001E-9</v>
      </c>
      <c r="G1225" s="1369">
        <f ca="1">IF(G1228&lt;0,G1228,IF(SUMIF(G1228:$Q1228,"&lt;0")=0,G1228,OFFSET(G1225,0,-1)))</f>
        <v>-1.0000000000000001E-9</v>
      </c>
      <c r="H1225" s="1369">
        <f ca="1">IF(H1228&lt;0,H1228,IF(SUMIF(H1228:$Q1228,"&lt;0")=0,H1228,OFFSET(H1225,0,-1)))</f>
        <v>-2537900.0000000009</v>
      </c>
      <c r="I1225" s="1369">
        <f ca="1">IF(I1228&lt;0,I1228,IF(SUMIF(I1228:$Q1228,"&lt;0")=0,I1228,OFFSET(I1225,0,-1)))</f>
        <v>-3299440.8453359697</v>
      </c>
      <c r="J1225" s="1369">
        <f ca="1">IF(J1228&lt;0,J1228,IF(SUMIF(J1228:$Q1228,"&lt;0")=0,J1228,OFFSET(J1225,0,-1)))</f>
        <v>-3581281.3036359455</v>
      </c>
      <c r="K1225" s="1369">
        <f ca="1">IF(K1228&lt;0,K1228,IF(SUMIF(K1228:$Q1228,"&lt;0")=0,K1228,OFFSET(K1225,0,-1)))</f>
        <v>-3938537.4619388138</v>
      </c>
      <c r="L1225" s="1369">
        <f ca="1">IF(L1228&lt;0,L1228,IF(SUMIF(L1228:$Q1228,"&lt;0")=0,L1228,OFFSET(L1225,0,-1)))</f>
        <v>-2632634.656815541</v>
      </c>
      <c r="M1225" s="1369">
        <f ca="1">IF(M1228&lt;0,M1228,IF(SUMIF(M1228:$Q1228,"&lt;0")=0,M1228,OFFSET(M1225,0,-1)))</f>
        <v>-898196.64516405854</v>
      </c>
      <c r="N1225" s="1369">
        <f ca="1">IF(N1228&lt;0,N1228,IF(SUMIF(N1228:$Q1228,"&lt;0")=0,N1228,OFFSET(N1225,0,-1)))</f>
        <v>1696459.5128590069</v>
      </c>
      <c r="O1225" s="1369">
        <f ca="1">IF(O1228&lt;0,O1228,IF(SUMIF(O1228:$Q1228,"&lt;0")=0,O1228,OFFSET(O1225,0,-1)))</f>
        <v>5198627.6267497605</v>
      </c>
      <c r="P1225" s="1369">
        <f ca="1">IF(P1228&lt;0,P1228,IF(SUMIF(P1228:$Q1228,"&lt;0")=0,P1228,OFFSET(P1225,0,-1)))</f>
        <v>9913147.6815003082</v>
      </c>
      <c r="Q1225" s="1369"/>
      <c r="R1225" s="1360"/>
      <c r="S1225" s="1358" t="s">
        <v>40</v>
      </c>
      <c r="T1225" s="1361"/>
    </row>
    <row r="1226" spans="1:20" ht="11.25" hidden="1" customHeight="1" x14ac:dyDescent="0.35">
      <c r="A1226" s="319"/>
      <c r="B1226" s="1358"/>
      <c r="C1226" s="1358"/>
      <c r="D1226" s="1358"/>
      <c r="E1226" s="1358" t="s">
        <v>1721</v>
      </c>
      <c r="F1226" s="1369"/>
      <c r="G1226" s="1369">
        <f t="shared" ref="G1226:L1227" ca="1" si="825">G1222</f>
        <v>0</v>
      </c>
      <c r="H1226" s="1369">
        <f t="shared" ca="1" si="825"/>
        <v>1</v>
      </c>
      <c r="I1226" s="1369">
        <f t="shared" ca="1" si="825"/>
        <v>2</v>
      </c>
      <c r="J1226" s="1369">
        <f t="shared" ca="1" si="825"/>
        <v>3</v>
      </c>
      <c r="K1226" s="1369">
        <f t="shared" ca="1" si="825"/>
        <v>4</v>
      </c>
      <c r="L1226" s="1369">
        <f t="shared" ca="1" si="825"/>
        <v>16</v>
      </c>
      <c r="M1226" s="1369">
        <f t="shared" ref="M1226:N1226" ca="1" si="826">M1222</f>
        <v>28</v>
      </c>
      <c r="N1226" s="1369">
        <f t="shared" ca="1" si="826"/>
        <v>40</v>
      </c>
      <c r="O1226" s="1369">
        <f t="shared" ref="O1226:P1226" ca="1" si="827">O1222</f>
        <v>52</v>
      </c>
      <c r="P1226" s="1369">
        <f t="shared" ca="1" si="827"/>
        <v>64</v>
      </c>
      <c r="Q1226" s="1369"/>
      <c r="R1226" s="1360"/>
      <c r="S1226" s="1358" t="s">
        <v>40</v>
      </c>
      <c r="T1226" s="1361"/>
    </row>
    <row r="1227" spans="1:20" ht="11.25" hidden="1" customHeight="1" x14ac:dyDescent="0.35">
      <c r="A1227" s="319"/>
      <c r="B1227" s="1358"/>
      <c r="C1227" s="1358"/>
      <c r="D1227" s="1358"/>
      <c r="E1227" s="1358" t="s">
        <v>1722</v>
      </c>
      <c r="F1227" s="1359" t="s">
        <v>1493</v>
      </c>
      <c r="G1227" s="1359" t="str">
        <f t="shared" si="825"/>
        <v>9/2019</v>
      </c>
      <c r="H1227" s="1359" t="str">
        <f t="shared" si="825"/>
        <v>9/2019</v>
      </c>
      <c r="I1227" s="1359" t="str">
        <f t="shared" si="825"/>
        <v>10/2019</v>
      </c>
      <c r="J1227" s="1359" t="str">
        <f t="shared" si="825"/>
        <v>11/2019</v>
      </c>
      <c r="K1227" s="1359" t="str">
        <f t="shared" si="825"/>
        <v>12/2019</v>
      </c>
      <c r="L1227" s="1359" t="str">
        <f t="shared" si="825"/>
        <v>12/2020</v>
      </c>
      <c r="M1227" s="1359" t="str">
        <f t="shared" ref="M1227:N1227" si="828">M1223</f>
        <v>12/2021</v>
      </c>
      <c r="N1227" s="1359" t="str">
        <f t="shared" si="828"/>
        <v>12/2022</v>
      </c>
      <c r="O1227" s="1359" t="str">
        <f t="shared" ref="O1227:P1227" si="829">O1223</f>
        <v>12/2023</v>
      </c>
      <c r="P1227" s="1359" t="str">
        <f t="shared" si="829"/>
        <v>12/2024</v>
      </c>
      <c r="Q1227" s="1369"/>
      <c r="R1227" s="1360"/>
      <c r="S1227" s="1358" t="s">
        <v>40</v>
      </c>
      <c r="T1227" s="1361"/>
    </row>
    <row r="1228" spans="1:20" ht="11.25" hidden="1" customHeight="1" x14ac:dyDescent="0.35">
      <c r="A1228" s="319"/>
      <c r="B1228" s="1358"/>
      <c r="C1228" s="1358"/>
      <c r="D1228" s="1358"/>
      <c r="E1228" s="1358" t="s">
        <v>1723</v>
      </c>
      <c r="F1228" s="1369">
        <v>-1.0000000000000001E-9</v>
      </c>
      <c r="G1228" s="1369">
        <f ca="1">G$697-0.000000001</f>
        <v>-1.0000000000000001E-9</v>
      </c>
      <c r="H1228" s="1369">
        <f t="shared" ref="H1228:P1228" ca="1" si="830">OFFSET(H1228,0,-1)+H$697</f>
        <v>-2537900.0000000009</v>
      </c>
      <c r="I1228" s="1369">
        <f t="shared" ca="1" si="830"/>
        <v>-3299440.8453359697</v>
      </c>
      <c r="J1228" s="1369">
        <f t="shared" ca="1" si="830"/>
        <v>-3581281.3036359455</v>
      </c>
      <c r="K1228" s="1369">
        <f t="shared" ca="1" si="830"/>
        <v>-3938537.4619388138</v>
      </c>
      <c r="L1228" s="1369">
        <f t="shared" ca="1" si="830"/>
        <v>-2632634.656815541</v>
      </c>
      <c r="M1228" s="1369">
        <f t="shared" ca="1" si="830"/>
        <v>-898196.64516405854</v>
      </c>
      <c r="N1228" s="1369">
        <f t="shared" ca="1" si="830"/>
        <v>1696459.5128590069</v>
      </c>
      <c r="O1228" s="1369">
        <f t="shared" ca="1" si="830"/>
        <v>5198627.6267497605</v>
      </c>
      <c r="P1228" s="1369">
        <f t="shared" ca="1" si="830"/>
        <v>9913147.6815003082</v>
      </c>
      <c r="Q1228" s="1369"/>
      <c r="R1228" s="1360"/>
      <c r="S1228" s="1358" t="s">
        <v>40</v>
      </c>
      <c r="T1228" s="1361"/>
    </row>
    <row r="1229" spans="1:20" ht="11.25" hidden="1" customHeight="1" x14ac:dyDescent="0.35">
      <c r="A1229" s="319"/>
      <c r="B1229" s="1358"/>
      <c r="C1229" s="1358"/>
      <c r="D1229" s="1358">
        <f ca="1">(1+OFFSET(Analysis!$F$4,1,0)/100)^(1/12)-1</f>
        <v>1.8151029571964461E-3</v>
      </c>
      <c r="E1229" s="1358" t="s">
        <v>1724</v>
      </c>
      <c r="F1229" s="1369"/>
      <c r="G1229" s="1369">
        <f ca="1">(IF(DcvaCG&lt;&gt;2,G$678+G$679,0)-G$688)*IF(IF(G$5=-99,OFFSET(G$5,0,-1),G$5)&lt;CalcPoint,IF(DontCompound=1,1,(1+$D1229)^G$1064),1/((1+$D1229)^G$1064))</f>
        <v>0</v>
      </c>
      <c r="H1229" s="1369">
        <f t="shared" ref="H1229:Q1232" ca="1" si="831">(IF(DcvaCG&lt;&gt;2,H$678+H$679,0)-H$688)*IF(IF(H$5=-99,OFFSET(H$5,0,-1),H$5)&lt;=CalcPoint,IF(DontCompound=1,1,(1+$D1229)^IF(MYDisc,H$1066,H$1064)),1/((1+$D1229)^IF(MYDisc,H$1066,H$1064)))</f>
        <v>0</v>
      </c>
      <c r="I1229" s="1369">
        <f t="shared" ca="1" si="831"/>
        <v>0</v>
      </c>
      <c r="J1229" s="1369">
        <f t="shared" ca="1" si="831"/>
        <v>0</v>
      </c>
      <c r="K1229" s="1369">
        <f t="shared" ca="1" si="831"/>
        <v>0</v>
      </c>
      <c r="L1229" s="1369">
        <f t="shared" ca="1" si="831"/>
        <v>0</v>
      </c>
      <c r="M1229" s="1369">
        <f t="shared" ca="1" si="831"/>
        <v>0</v>
      </c>
      <c r="N1229" s="1369">
        <f t="shared" ca="1" si="831"/>
        <v>0</v>
      </c>
      <c r="O1229" s="1369">
        <f t="shared" ca="1" si="831"/>
        <v>0</v>
      </c>
      <c r="P1229" s="1369">
        <f t="shared" ca="1" si="831"/>
        <v>0</v>
      </c>
      <c r="Q1229" s="1369">
        <f t="shared" ca="1" si="831"/>
        <v>0</v>
      </c>
      <c r="R1229" s="1360"/>
      <c r="S1229" s="1358" t="s">
        <v>40</v>
      </c>
      <c r="T1229" s="1361"/>
    </row>
    <row r="1230" spans="1:20" ht="11.25" hidden="1" customHeight="1" x14ac:dyDescent="0.35">
      <c r="A1230" s="319"/>
      <c r="B1230" s="1358"/>
      <c r="C1230" s="1358"/>
      <c r="D1230" s="1358">
        <f ca="1">(1+OFFSET(Analysis!$G$4,1,0)/100)^(1/12)-1</f>
        <v>2.0394669228385176E-3</v>
      </c>
      <c r="E1230" s="1358" t="s">
        <v>1725</v>
      </c>
      <c r="F1230" s="1369"/>
      <c r="G1230" s="1369">
        <f ca="1">(IF(DcvaCG&lt;&gt;2,G$678+G$679,0)-G$688)*IF(IF(G$5=-99,OFFSET(G$5,0,-1),G$5)&lt;CalcPoint,IF(DontCompound=1,1,(1+$D1230)^G$1064),1/((1+$D1230)^G$1064))</f>
        <v>0</v>
      </c>
      <c r="H1230" s="1369">
        <f t="shared" ca="1" si="831"/>
        <v>0</v>
      </c>
      <c r="I1230" s="1369">
        <f t="shared" ca="1" si="831"/>
        <v>0</v>
      </c>
      <c r="J1230" s="1369">
        <f t="shared" ca="1" si="831"/>
        <v>0</v>
      </c>
      <c r="K1230" s="1369">
        <f t="shared" ca="1" si="831"/>
        <v>0</v>
      </c>
      <c r="L1230" s="1369">
        <f t="shared" ca="1" si="831"/>
        <v>0</v>
      </c>
      <c r="M1230" s="1369">
        <f t="shared" ca="1" si="831"/>
        <v>0</v>
      </c>
      <c r="N1230" s="1369">
        <f t="shared" ca="1" si="831"/>
        <v>0</v>
      </c>
      <c r="O1230" s="1369">
        <f t="shared" ca="1" si="831"/>
        <v>0</v>
      </c>
      <c r="P1230" s="1369">
        <f t="shared" ca="1" si="831"/>
        <v>0</v>
      </c>
      <c r="Q1230" s="1369">
        <f t="shared" ca="1" si="831"/>
        <v>0</v>
      </c>
      <c r="R1230" s="1360"/>
      <c r="S1230" s="1358" t="s">
        <v>40</v>
      </c>
      <c r="T1230" s="1361"/>
    </row>
    <row r="1231" spans="1:20" ht="11.25" hidden="1" customHeight="1" x14ac:dyDescent="0.35">
      <c r="A1231" s="319"/>
      <c r="B1231" s="1358"/>
      <c r="C1231" s="1358"/>
      <c r="D1231" s="1358">
        <f ca="1">(1+OFFSET(Analysis!$I$4,1,0)/100)^(1/12)-1</f>
        <v>2.486543938297725E-3</v>
      </c>
      <c r="E1231" s="1358" t="s">
        <v>1726</v>
      </c>
      <c r="F1231" s="1369"/>
      <c r="G1231" s="1369">
        <f ca="1">(IF(DcvaCG&lt;&gt;2,G$678+G$679,0)-G$688)*IF(IF(G$5=-99,OFFSET(G$5,0,-1),G$5)&lt;CalcPoint,IF(DontCompound=1,1,(1+$D1231)^G$1064),1/((1+$D1231)^G$1064))</f>
        <v>0</v>
      </c>
      <c r="H1231" s="1369">
        <f t="shared" ca="1" si="831"/>
        <v>0</v>
      </c>
      <c r="I1231" s="1369">
        <f t="shared" ca="1" si="831"/>
        <v>0</v>
      </c>
      <c r="J1231" s="1369">
        <f t="shared" ca="1" si="831"/>
        <v>0</v>
      </c>
      <c r="K1231" s="1369">
        <f t="shared" ca="1" si="831"/>
        <v>0</v>
      </c>
      <c r="L1231" s="1369">
        <f t="shared" ca="1" si="831"/>
        <v>0</v>
      </c>
      <c r="M1231" s="1369">
        <f t="shared" ca="1" si="831"/>
        <v>0</v>
      </c>
      <c r="N1231" s="1369">
        <f t="shared" ca="1" si="831"/>
        <v>0</v>
      </c>
      <c r="O1231" s="1369">
        <f t="shared" ca="1" si="831"/>
        <v>0</v>
      </c>
      <c r="P1231" s="1369">
        <f t="shared" ca="1" si="831"/>
        <v>0</v>
      </c>
      <c r="Q1231" s="1369">
        <f t="shared" ca="1" si="831"/>
        <v>0</v>
      </c>
      <c r="R1231" s="1360"/>
      <c r="S1231" s="1358" t="s">
        <v>40</v>
      </c>
      <c r="T1231" s="1361"/>
    </row>
    <row r="1232" spans="1:20" ht="11.25" hidden="1" customHeight="1" x14ac:dyDescent="0.35">
      <c r="A1232" s="319"/>
      <c r="B1232" s="1358"/>
      <c r="C1232" s="1358"/>
      <c r="D1232" s="1358">
        <f ca="1">(1+OFFSET(Analysis!$J$4,1,0)/100)^(1/12)-1</f>
        <v>2.7092626147666721E-3</v>
      </c>
      <c r="E1232" s="1358" t="s">
        <v>1727</v>
      </c>
      <c r="F1232" s="1369"/>
      <c r="G1232" s="1369">
        <f ca="1">(IF(DcvaCG&lt;&gt;2,G$678+G$679,0)-G$688)*IF(IF(G$5=-99,OFFSET(G$5,0,-1),G$5)&lt;CalcPoint,IF(DontCompound=1,1,(1+$D1232)^G$1064),1/((1+$D1232)^G$1064))</f>
        <v>0</v>
      </c>
      <c r="H1232" s="1369">
        <f t="shared" ca="1" si="831"/>
        <v>0</v>
      </c>
      <c r="I1232" s="1369">
        <f t="shared" ca="1" si="831"/>
        <v>0</v>
      </c>
      <c r="J1232" s="1369">
        <f t="shared" ca="1" si="831"/>
        <v>0</v>
      </c>
      <c r="K1232" s="1369">
        <f t="shared" ca="1" si="831"/>
        <v>0</v>
      </c>
      <c r="L1232" s="1369">
        <f t="shared" ca="1" si="831"/>
        <v>0</v>
      </c>
      <c r="M1232" s="1369">
        <f t="shared" ca="1" si="831"/>
        <v>0</v>
      </c>
      <c r="N1232" s="1369">
        <f t="shared" ca="1" si="831"/>
        <v>0</v>
      </c>
      <c r="O1232" s="1369">
        <f t="shared" ca="1" si="831"/>
        <v>0</v>
      </c>
      <c r="P1232" s="1369">
        <f t="shared" ca="1" si="831"/>
        <v>0</v>
      </c>
      <c r="Q1232" s="1369">
        <f t="shared" ca="1" si="831"/>
        <v>0</v>
      </c>
      <c r="R1232" s="1360"/>
      <c r="S1232" s="1358" t="s">
        <v>40</v>
      </c>
      <c r="T1232" s="1361"/>
    </row>
    <row r="1233" spans="1:20" ht="11.25" hidden="1" customHeight="1" x14ac:dyDescent="0.35">
      <c r="A1233" s="319"/>
      <c r="B1233" s="1358"/>
      <c r="C1233" s="1358" t="s">
        <v>1728</v>
      </c>
      <c r="D1233" s="1358"/>
      <c r="E1233" s="1358" t="s">
        <v>1729</v>
      </c>
      <c r="F1233" s="1369"/>
      <c r="G1233" s="1369"/>
      <c r="H1233" s="1369"/>
      <c r="I1233" s="1369"/>
      <c r="J1233" s="1369"/>
      <c r="K1233" s="1369"/>
      <c r="L1233" s="1369"/>
      <c r="M1233" s="1369"/>
      <c r="N1233" s="1369"/>
      <c r="O1233" s="1369"/>
      <c r="P1233" s="1369"/>
      <c r="Q1233" s="1369"/>
      <c r="R1233" s="1360"/>
      <c r="S1233" s="1358" t="s">
        <v>40</v>
      </c>
      <c r="T1233" s="1361"/>
    </row>
    <row r="1234" spans="1:20" ht="11.25" hidden="1" customHeight="1" x14ac:dyDescent="0.35">
      <c r="A1234" s="319"/>
      <c r="B1234" s="1369"/>
      <c r="C1234" s="1358" t="s">
        <v>1730</v>
      </c>
      <c r="D1234" s="1369"/>
      <c r="E1234" s="1358" t="s">
        <v>1731</v>
      </c>
      <c r="F1234" s="1369"/>
      <c r="G1234" s="1369"/>
      <c r="H1234" s="1369"/>
      <c r="I1234" s="1369"/>
      <c r="J1234" s="1369"/>
      <c r="K1234" s="1369"/>
      <c r="L1234" s="1369"/>
      <c r="M1234" s="1369"/>
      <c r="N1234" s="1369"/>
      <c r="O1234" s="1369"/>
      <c r="P1234" s="1369"/>
      <c r="Q1234" s="1369"/>
      <c r="R1234" s="1360"/>
      <c r="S1234" s="1358" t="s">
        <v>40</v>
      </c>
      <c r="T1234" s="1361"/>
    </row>
    <row r="1235" spans="1:20" ht="11.25" hidden="1" customHeight="1" x14ac:dyDescent="0.35">
      <c r="A1235" s="319"/>
      <c r="B1235" s="1369"/>
      <c r="C1235" s="1358"/>
      <c r="D1235" s="1369"/>
      <c r="E1235" s="1358" t="s">
        <v>5562</v>
      </c>
      <c r="F1235" s="1369" t="str">
        <f>F$6</f>
        <v>1212122018</v>
      </c>
      <c r="G1235" s="1369" t="str">
        <f ca="1">IF(AND(G$6=OFFSET(G$6,0,1),G$1=FinMonth),G$1-1&amp;MID(G$6,3,LEN(G$6)-2),G$6)</f>
        <v>0909122019</v>
      </c>
      <c r="H1235" s="1369" t="str">
        <f t="shared" ref="H1235:Q1235" si="832">H$6</f>
        <v>0909122019</v>
      </c>
      <c r="I1235" s="1369" t="str">
        <f t="shared" si="832"/>
        <v>1012122019</v>
      </c>
      <c r="J1235" s="1369" t="str">
        <f t="shared" si="832"/>
        <v>1112122019</v>
      </c>
      <c r="K1235" s="1369" t="str">
        <f t="shared" si="832"/>
        <v>1212122019</v>
      </c>
      <c r="L1235" s="1369" t="str">
        <f t="shared" si="832"/>
        <v>1212122020</v>
      </c>
      <c r="M1235" s="1369" t="str">
        <f t="shared" si="832"/>
        <v>1212122021</v>
      </c>
      <c r="N1235" s="1369" t="str">
        <f t="shared" si="832"/>
        <v>1212122022</v>
      </c>
      <c r="O1235" s="1369" t="str">
        <f t="shared" si="832"/>
        <v>1212122023</v>
      </c>
      <c r="P1235" s="1369" t="str">
        <f t="shared" si="832"/>
        <v>1212122024</v>
      </c>
      <c r="Q1235" s="1369" t="str">
        <f t="shared" ca="1" si="832"/>
        <v>1212122024</v>
      </c>
      <c r="R1235" s="1360"/>
      <c r="S1235" s="1358" t="s">
        <v>40</v>
      </c>
      <c r="T1235" s="1361"/>
    </row>
    <row r="1236" spans="1:20" ht="11.25" hidden="1" customHeight="1" x14ac:dyDescent="0.35">
      <c r="A1236" s="319"/>
      <c r="B1236" s="1369"/>
      <c r="C1236" s="1358"/>
      <c r="D1236" s="1369"/>
      <c r="E1236" s="1358" t="s">
        <v>5670</v>
      </c>
      <c r="F1236" s="1369"/>
      <c r="G1236" s="1369"/>
      <c r="H1236" s="1369"/>
      <c r="I1236" s="1369"/>
      <c r="J1236" s="1369"/>
      <c r="K1236" s="1369"/>
      <c r="L1236" s="1369"/>
      <c r="M1236" s="1369"/>
      <c r="N1236" s="1369"/>
      <c r="O1236" s="1369"/>
      <c r="P1236" s="1369"/>
      <c r="Q1236" s="1369"/>
      <c r="R1236" s="1360"/>
      <c r="S1236" s="1358" t="s">
        <v>40</v>
      </c>
      <c r="T1236" s="1361"/>
    </row>
    <row r="1237" spans="1:20" ht="11.25" hidden="1" customHeight="1" x14ac:dyDescent="0.35">
      <c r="A1237" s="319"/>
      <c r="B1237" s="1369"/>
      <c r="C1237" s="1358"/>
      <c r="D1237" s="1369"/>
      <c r="E1237" s="1358" t="s">
        <v>5671</v>
      </c>
      <c r="F1237" s="1369"/>
      <c r="G1237" s="1369"/>
      <c r="H1237" s="1369"/>
      <c r="I1237" s="1369"/>
      <c r="J1237" s="1369"/>
      <c r="K1237" s="1369"/>
      <c r="L1237" s="1369"/>
      <c r="M1237" s="1369"/>
      <c r="N1237" s="1369"/>
      <c r="O1237" s="1369"/>
      <c r="P1237" s="1369"/>
      <c r="Q1237" s="1369"/>
      <c r="R1237" s="1360"/>
      <c r="S1237" s="1358" t="s">
        <v>40</v>
      </c>
      <c r="T1237" s="1361"/>
    </row>
    <row r="1238" spans="1:20" ht="11.25" hidden="1" customHeight="1" x14ac:dyDescent="0.35">
      <c r="A1238" s="319"/>
      <c r="B1238" s="1369"/>
      <c r="C1238" s="1358"/>
      <c r="D1238" s="1369"/>
      <c r="E1238" s="1358" t="s">
        <v>5672</v>
      </c>
      <c r="F1238" s="1369"/>
      <c r="G1238" s="1369"/>
      <c r="H1238" s="1369"/>
      <c r="I1238" s="1369"/>
      <c r="J1238" s="1369"/>
      <c r="K1238" s="1369"/>
      <c r="L1238" s="1369"/>
      <c r="M1238" s="1369"/>
      <c r="N1238" s="1369"/>
      <c r="O1238" s="1369"/>
      <c r="P1238" s="1369"/>
      <c r="Q1238" s="1369"/>
      <c r="R1238" s="1360"/>
      <c r="S1238" s="1358" t="s">
        <v>40</v>
      </c>
      <c r="T1238" s="1361"/>
    </row>
    <row r="1239" spans="1:20" ht="11.25" hidden="1" customHeight="1" x14ac:dyDescent="0.35">
      <c r="A1239" s="319"/>
      <c r="B1239" s="1369"/>
      <c r="C1239" s="1358"/>
      <c r="D1239" s="1369"/>
      <c r="E1239" s="1358" t="s">
        <v>5673</v>
      </c>
      <c r="F1239" s="1369"/>
      <c r="G1239" s="1369"/>
      <c r="H1239" s="1369"/>
      <c r="I1239" s="1369"/>
      <c r="J1239" s="1369"/>
      <c r="K1239" s="1369"/>
      <c r="L1239" s="1369"/>
      <c r="M1239" s="1369"/>
      <c r="N1239" s="1369"/>
      <c r="O1239" s="1369"/>
      <c r="P1239" s="1369"/>
      <c r="Q1239" s="1369"/>
      <c r="R1239" s="1360"/>
      <c r="S1239" s="1358" t="s">
        <v>40</v>
      </c>
      <c r="T1239" s="1361"/>
    </row>
    <row r="1240" spans="1:20" ht="11.25" hidden="1" customHeight="1" x14ac:dyDescent="0.35">
      <c r="A1240" s="319"/>
      <c r="B1240" s="1369"/>
      <c r="C1240" s="1358"/>
      <c r="D1240" s="1369"/>
      <c r="E1240" s="1358" t="s">
        <v>5674</v>
      </c>
      <c r="F1240" s="1369"/>
      <c r="G1240" s="1369"/>
      <c r="H1240" s="1369"/>
      <c r="I1240" s="1369"/>
      <c r="J1240" s="1369"/>
      <c r="K1240" s="1369"/>
      <c r="L1240" s="1369"/>
      <c r="M1240" s="1369"/>
      <c r="N1240" s="1369"/>
      <c r="O1240" s="1369"/>
      <c r="P1240" s="1369"/>
      <c r="Q1240" s="1369"/>
      <c r="R1240" s="1360"/>
      <c r="S1240" s="1358" t="s">
        <v>40</v>
      </c>
      <c r="T1240" s="1361"/>
    </row>
    <row r="1241" spans="1:20" ht="11.25" hidden="1" customHeight="1" x14ac:dyDescent="0.35">
      <c r="A1241" s="1373"/>
      <c r="B1241" s="1374"/>
      <c r="C1241" s="1374"/>
      <c r="D1241" s="1374"/>
      <c r="E1241" s="1358" t="s">
        <v>1732</v>
      </c>
      <c r="F1241" s="1375"/>
      <c r="G1241" s="1374"/>
      <c r="H1241" s="1374"/>
      <c r="I1241" s="1374"/>
      <c r="J1241" s="1374"/>
      <c r="K1241" s="1374"/>
      <c r="L1241" s="1374"/>
      <c r="M1241" s="1374"/>
      <c r="N1241" s="1374"/>
      <c r="O1241" s="1374"/>
      <c r="P1241" s="1374"/>
      <c r="Q1241" s="1374"/>
      <c r="R1241" s="1376"/>
      <c r="S1241" s="1358" t="s">
        <v>40</v>
      </c>
      <c r="T1241" s="1361"/>
    </row>
  </sheetData>
  <sheetProtection algorithmName="SHA-512" hashValue="cHciWAVupTJiJ6Tcpf8MTY79ITkYH08ptDxrp7YY9+IEcjI9Xb1B+PMl14Eq+tzQlzplru536bnH2jmk5sAxDg==" saltValue="N1gbtuplIA9we8/jnvdtuA==" spinCount="100000" sheet="1" objects="1" scenarios="1" formatCells="0"/>
  <conditionalFormatting sqref="F829:Q829 G836:Q836">
    <cfRule type="cellIs" dxfId="2" priority="7" stopIfTrue="1" operator="notEqual">
      <formula>0</formula>
    </cfRule>
  </conditionalFormatting>
  <conditionalFormatting sqref="R668 R635:R644 R646:R655 R657:R666 R502:R503 R508:R509 R458 R314:R315 R498:R499 R13 R19:R21 R39:R41 R29:R31 R44:R45 R54:R55 R64:R65 R74:R75 R84:R85 R94:R95 R104:R105 R114:R115 R124:R125 R134:R135 R144:R145 R154:R155 R164:R165 R174:R175 R184:R185 R194:R195 R204:R205 R214:R215 R224:R225 R234:R235 R244:R245 R254:R255 R264:R265 R274:R275 R284:R285 R294:R295 R34:R35 R24:R25 R49:R51 R59:R61 R69:R71 R79:R81 R89:R91 R99:R101 R109:R111 R119:R121 R129:R131 R139:R141 R149:R151 R159:R161 R169:R171 R179:R181 R189:R191 R199:R201 R209:R211 R219:R221 R229:R231 R239:R241 R249:R251 R259:R261 R269:R271 R279:R281 R289:R291 R299:R301 R309:R311 R304:R305 R443:R455 R460:R471 R476:R487">
    <cfRule type="cellIs" dxfId="1" priority="6" stopIfTrue="1" operator="equal">
      <formula>"  "</formula>
    </cfRule>
  </conditionalFormatting>
  <conditionalFormatting sqref="Q134 Q20 Q24 Q40 Q30 Q44 Q54 Q64 Q74 Q84 Q94 Q104 Q114 Q124 Q284 Q144 Q154 Q164 Q174 Q184 Q194 Q204 Q214 Q224 Q234 Q244 Q254 Q264 Q274 Q294 Q34 Q304 Q50 Q60 Q70 Q80 Q90 Q100 Q110 Q120 Q130 Q140 Q150 Q160 Q170 Q180 Q190 Q200 Q210 Q220 Q230 Q240 Q250 Q260 Q270 Q280 Q290 Q300 Q310 Q314">
    <cfRule type="cellIs" dxfId="0" priority="1" stopIfTrue="1" operator="greaterThanOrEqual">
      <formula>0</formula>
    </cfRule>
  </conditionalFormatting>
  <dataValidations disablePrompts="1" count="2">
    <dataValidation type="list" allowBlank="1" showInputMessage="1" showErrorMessage="1" sqref="B444 B461" xr:uid="{00000000-0002-0000-0100-000000000000}">
      <formula1>Operators1</formula1>
    </dataValidation>
    <dataValidation type="list" allowBlank="1" showInputMessage="1" showErrorMessage="1" sqref="B445:B446 B462" xr:uid="{00000000-0002-0000-0100-000001000000}">
      <formula1>Operators</formula1>
    </dataValidation>
  </dataValidations>
  <printOptions horizontalCentered="1" verticalCentered="1"/>
  <pageMargins left="0.35433070866141736" right="0.35433070866141736" top="0.51181102362204722" bottom="0.51181102362204722" header="0.39370078740157483" footer="0.39370078740157483"/>
  <pageSetup paperSize="9" scale="75" orientation="landscape" r:id="rId1"/>
  <headerFooter>
    <oddFooter>&amp;L&amp;8Invest for Excel&amp;C&amp;8&amp;F&amp;R&amp;8&amp;D: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kCalcDepr">
              <controlPr defaultSize="0" autoFill="0" autoLine="0" autoPict="0" macro="[0]!ShowHideCalculatedDepreciation">
                <anchor moveWithCells="1">
                  <from>
                    <xdr:col>2</xdr:col>
                    <xdr:colOff>0</xdr:colOff>
                    <xdr:row>14</xdr:row>
                    <xdr:rowOff>165100</xdr:rowOff>
                  </from>
                  <to>
                    <xdr:col>2</xdr:col>
                    <xdr:colOff>1600200</xdr:colOff>
                    <xdr:row>16</xdr:row>
                    <xdr:rowOff>44450</xdr:rowOff>
                  </to>
                </anchor>
              </controlPr>
            </control>
          </mc:Choice>
        </mc:AlternateContent>
        <mc:AlternateContent xmlns:mc="http://schemas.openxmlformats.org/markup-compatibility/2006">
          <mc:Choice Requires="x14">
            <control shapeId="2050" r:id="rId5" name="ddBalDepr008">
              <controlPr defaultSize="0" print="0" autoLine="0" autoPict="0" macro="[0]!BalDeprMethod">
                <anchor moveWithCells="1">
                  <from>
                    <xdr:col>2</xdr:col>
                    <xdr:colOff>850900</xdr:colOff>
                    <xdr:row>753</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51" r:id="rId6" name="ddBalDepr012">
              <controlPr defaultSize="0" print="0" autoLine="0" autoPict="0" macro="[0]!BalDeprMethod">
                <anchor moveWithCells="1">
                  <from>
                    <xdr:col>2</xdr:col>
                    <xdr:colOff>933450</xdr:colOff>
                    <xdr:row>770</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52" r:id="rId7" name="ddBalDepr004">
              <controlPr defaultSize="0" print="0" autoLine="0" autoPict="0" macro="[0]!BalDeprMethod">
                <anchor moveWithCells="1">
                  <from>
                    <xdr:col>2</xdr:col>
                    <xdr:colOff>850900</xdr:colOff>
                    <xdr:row>732</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53" r:id="rId8" name="OutlineDD01">
              <controlPr defaultSize="0" print="0" autoLine="0" autoPict="0" macro="[0]!DetailLevelSelected">
                <anchor moveWithCells="1">
                  <from>
                    <xdr:col>3</xdr:col>
                    <xdr:colOff>209550</xdr:colOff>
                    <xdr:row>7</xdr:row>
                    <xdr:rowOff>19050</xdr:rowOff>
                  </from>
                  <to>
                    <xdr:col>3</xdr:col>
                    <xdr:colOff>603250</xdr:colOff>
                    <xdr:row>8</xdr:row>
                    <xdr:rowOff>88900</xdr:rowOff>
                  </to>
                </anchor>
              </controlPr>
            </control>
          </mc:Choice>
        </mc:AlternateContent>
        <mc:AlternateContent xmlns:mc="http://schemas.openxmlformats.org/markup-compatibility/2006">
          <mc:Choice Requires="x14">
            <control shapeId="2054" r:id="rId9" name="OutlineDD02">
              <controlPr defaultSize="0" print="0" autoLine="0" autoPict="0" macro="[0]!DetailLevelSelected">
                <anchor moveWithCells="1">
                  <from>
                    <xdr:col>3</xdr:col>
                    <xdr:colOff>209550</xdr:colOff>
                    <xdr:row>436</xdr:row>
                    <xdr:rowOff>19050</xdr:rowOff>
                  </from>
                  <to>
                    <xdr:col>3</xdr:col>
                    <xdr:colOff>603250</xdr:colOff>
                    <xdr:row>437</xdr:row>
                    <xdr:rowOff>76200</xdr:rowOff>
                  </to>
                </anchor>
              </controlPr>
            </control>
          </mc:Choice>
        </mc:AlternateContent>
        <mc:AlternateContent xmlns:mc="http://schemas.openxmlformats.org/markup-compatibility/2006">
          <mc:Choice Requires="x14">
            <control shapeId="2055" r:id="rId10" name="OutlineDD03">
              <controlPr defaultSize="0" print="0" autoLine="0" autoPict="0" macro="[0]!DetailLevelSelected">
                <anchor moveWithCells="1">
                  <from>
                    <xdr:col>3</xdr:col>
                    <xdr:colOff>209550</xdr:colOff>
                    <xdr:row>539</xdr:row>
                    <xdr:rowOff>19050</xdr:rowOff>
                  </from>
                  <to>
                    <xdr:col>3</xdr:col>
                    <xdr:colOff>603250</xdr:colOff>
                    <xdr:row>540</xdr:row>
                    <xdr:rowOff>76200</xdr:rowOff>
                  </to>
                </anchor>
              </controlPr>
            </control>
          </mc:Choice>
        </mc:AlternateContent>
        <mc:AlternateContent xmlns:mc="http://schemas.openxmlformats.org/markup-compatibility/2006">
          <mc:Choice Requires="x14">
            <control shapeId="2056" r:id="rId11" name="OutlineDD04">
              <controlPr defaultSize="0" print="0" autoLine="0" autoPict="0" macro="[0]!DetailLevelSelected">
                <anchor moveWithCells="1">
                  <from>
                    <xdr:col>3</xdr:col>
                    <xdr:colOff>209550</xdr:colOff>
                    <xdr:row>627</xdr:row>
                    <xdr:rowOff>19050</xdr:rowOff>
                  </from>
                  <to>
                    <xdr:col>3</xdr:col>
                    <xdr:colOff>603250</xdr:colOff>
                    <xdr:row>628</xdr:row>
                    <xdr:rowOff>76200</xdr:rowOff>
                  </to>
                </anchor>
              </controlPr>
            </control>
          </mc:Choice>
        </mc:AlternateContent>
        <mc:AlternateContent xmlns:mc="http://schemas.openxmlformats.org/markup-compatibility/2006">
          <mc:Choice Requires="x14">
            <control shapeId="2057" r:id="rId12" name="OutlineDD05">
              <controlPr defaultSize="0" print="0" autoLine="0" autoPict="0" macro="[0]!DetailLevelSelected">
                <anchor moveWithCells="1">
                  <from>
                    <xdr:col>3</xdr:col>
                    <xdr:colOff>209550</xdr:colOff>
                    <xdr:row>709</xdr:row>
                    <xdr:rowOff>19050</xdr:rowOff>
                  </from>
                  <to>
                    <xdr:col>3</xdr:col>
                    <xdr:colOff>603250</xdr:colOff>
                    <xdr:row>710</xdr:row>
                    <xdr:rowOff>88900</xdr:rowOff>
                  </to>
                </anchor>
              </controlPr>
            </control>
          </mc:Choice>
        </mc:AlternateContent>
        <mc:AlternateContent xmlns:mc="http://schemas.openxmlformats.org/markup-compatibility/2006">
          <mc:Choice Requires="x14">
            <control shapeId="2058" r:id="rId13" name="ddIFRSmethod">
              <controlPr defaultSize="0" autoLine="0" autoPict="0" macro="[0]!NGAAPorIFRSelected">
                <anchor moveWithCells="1">
                  <from>
                    <xdr:col>3</xdr:col>
                    <xdr:colOff>6350</xdr:colOff>
                    <xdr:row>335</xdr:row>
                    <xdr:rowOff>6350</xdr:rowOff>
                  </from>
                  <to>
                    <xdr:col>4</xdr:col>
                    <xdr:colOff>0</xdr:colOff>
                    <xdr:row>437</xdr:row>
                    <xdr:rowOff>0</xdr:rowOff>
                  </to>
                </anchor>
              </controlPr>
            </control>
          </mc:Choice>
        </mc:AlternateContent>
        <mc:AlternateContent xmlns:mc="http://schemas.openxmlformats.org/markup-compatibility/2006">
          <mc:Choice Requires="x14">
            <control shapeId="2059" r:id="rId14" name="ddIFRSAlloc01">
              <controlPr defaultSize="0" autoLine="0" autoPict="0" macro="[0]!AllocateOnAssetSelected">
                <anchor moveWithCells="1">
                  <from>
                    <xdr:col>2</xdr:col>
                    <xdr:colOff>850900</xdr:colOff>
                    <xdr:row>348</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0" r:id="rId15" name="ddIFRSDepr01">
              <controlPr defaultSize="0" print="0" autoLine="0" autoPict="0" macro="[0]!IFRSAllocDeprMethodChanged">
                <anchor moveWithCells="1">
                  <from>
                    <xdr:col>2</xdr:col>
                    <xdr:colOff>850900</xdr:colOff>
                    <xdr:row>349</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1" r:id="rId16" name="ddIFRSAlloc02">
              <controlPr defaultSize="0" autoLine="0" autoPict="0" macro="[0]!AllocateOnAssetSelected">
                <anchor moveWithCells="1">
                  <from>
                    <xdr:col>2</xdr:col>
                    <xdr:colOff>850900</xdr:colOff>
                    <xdr:row>351</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2" r:id="rId17" name="ddIFRSDepr02">
              <controlPr defaultSize="0" print="0" autoLine="0" autoPict="0" macro="[0]!IFRSAllocDeprMethodChanged">
                <anchor moveWithCells="1">
                  <from>
                    <xdr:col>2</xdr:col>
                    <xdr:colOff>850900</xdr:colOff>
                    <xdr:row>352</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3" r:id="rId18" name="ddIFRSAlloc03">
              <controlPr defaultSize="0" autoLine="0" autoPict="0" macro="[0]!AllocateOnAssetSelected">
                <anchor moveWithCells="1">
                  <from>
                    <xdr:col>2</xdr:col>
                    <xdr:colOff>850900</xdr:colOff>
                    <xdr:row>354</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4" r:id="rId19" name="ddIFRSDepr03">
              <controlPr defaultSize="0" print="0" autoLine="0" autoPict="0" macro="[0]!IFRSAllocDeprMethodChanged">
                <anchor moveWithCells="1">
                  <from>
                    <xdr:col>2</xdr:col>
                    <xdr:colOff>850900</xdr:colOff>
                    <xdr:row>355</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5" r:id="rId20" name="ddIFRSAlloc04">
              <controlPr defaultSize="0" autoLine="0" autoPict="0" macro="[0]!AllocateOnAssetSelected">
                <anchor moveWithCells="1">
                  <from>
                    <xdr:col>2</xdr:col>
                    <xdr:colOff>850900</xdr:colOff>
                    <xdr:row>357</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6" r:id="rId21" name="ddIFRSDepr04">
              <controlPr defaultSize="0" print="0" autoLine="0" autoPict="0" macro="[0]!IFRSAllocDeprMethodChanged">
                <anchor moveWithCells="1">
                  <from>
                    <xdr:col>2</xdr:col>
                    <xdr:colOff>850900</xdr:colOff>
                    <xdr:row>358</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7" r:id="rId22" name="ddIFRSAlloc05">
              <controlPr defaultSize="0" autoLine="0" autoPict="0" macro="[0]!AllocateOnAssetSelected">
                <anchor moveWithCells="1">
                  <from>
                    <xdr:col>2</xdr:col>
                    <xdr:colOff>850900</xdr:colOff>
                    <xdr:row>360</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8" r:id="rId23" name="ddIFRSDepr05">
              <controlPr defaultSize="0" print="0" autoLine="0" autoPict="0" macro="[0]!IFRSAllocDeprMethodChanged">
                <anchor moveWithCells="1">
                  <from>
                    <xdr:col>2</xdr:col>
                    <xdr:colOff>850900</xdr:colOff>
                    <xdr:row>361</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9" r:id="rId24" name="ddIFRSAlloc06">
              <controlPr defaultSize="0" autoLine="0" autoPict="0" macro="[0]!AllocateOnAssetSelected">
                <anchor moveWithCells="1">
                  <from>
                    <xdr:col>2</xdr:col>
                    <xdr:colOff>850900</xdr:colOff>
                    <xdr:row>363</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0" r:id="rId25" name="ddIFRSDepr06">
              <controlPr defaultSize="0" print="0" autoLine="0" autoPict="0" macro="[0]!IFRSAllocDeprMethodChanged">
                <anchor moveWithCells="1">
                  <from>
                    <xdr:col>2</xdr:col>
                    <xdr:colOff>850900</xdr:colOff>
                    <xdr:row>364</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1" r:id="rId26" name="ddIFRSAlloc07">
              <controlPr defaultSize="0" autoLine="0" autoPict="0" macro="[0]!AllocateOnAssetSelected">
                <anchor moveWithCells="1">
                  <from>
                    <xdr:col>2</xdr:col>
                    <xdr:colOff>850900</xdr:colOff>
                    <xdr:row>366</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2" r:id="rId27" name="ddIFRSDepr07">
              <controlPr defaultSize="0" print="0" autoLine="0" autoPict="0" macro="[0]!IFRSAllocDeprMethodChanged">
                <anchor moveWithCells="1">
                  <from>
                    <xdr:col>2</xdr:col>
                    <xdr:colOff>850900</xdr:colOff>
                    <xdr:row>367</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3" r:id="rId28" name="ddIFRSAlloc08">
              <controlPr defaultSize="0" autoLine="0" autoPict="0" macro="[0]!AllocateOnAssetSelected">
                <anchor moveWithCells="1">
                  <from>
                    <xdr:col>2</xdr:col>
                    <xdr:colOff>850900</xdr:colOff>
                    <xdr:row>369</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4" r:id="rId29" name="ddIFRSDepr08">
              <controlPr defaultSize="0" print="0" autoLine="0" autoPict="0" macro="[0]!IFRSAllocDeprMethodChanged">
                <anchor moveWithCells="1">
                  <from>
                    <xdr:col>2</xdr:col>
                    <xdr:colOff>850900</xdr:colOff>
                    <xdr:row>370</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5" r:id="rId30" name="ddIFRSAlloc09">
              <controlPr defaultSize="0" autoLine="0" autoPict="0" macro="[0]!AllocateOnAssetSelected">
                <anchor moveWithCells="1">
                  <from>
                    <xdr:col>2</xdr:col>
                    <xdr:colOff>850900</xdr:colOff>
                    <xdr:row>372</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6" r:id="rId31" name="ddIFRSDepr09">
              <controlPr defaultSize="0" print="0" autoLine="0" autoPict="0" macro="[0]!IFRSAllocDeprMethodChanged">
                <anchor moveWithCells="1">
                  <from>
                    <xdr:col>2</xdr:col>
                    <xdr:colOff>850900</xdr:colOff>
                    <xdr:row>373</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7" r:id="rId32" name="ddIFRSAlloc10">
              <controlPr defaultSize="0" autoLine="0" autoPict="0" macro="[0]!AllocateOnAssetSelected">
                <anchor moveWithCells="1">
                  <from>
                    <xdr:col>2</xdr:col>
                    <xdr:colOff>850900</xdr:colOff>
                    <xdr:row>375</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8" r:id="rId33" name="ddIFRSDepr10">
              <controlPr defaultSize="0" print="0" autoLine="0" autoPict="0" macro="[0]!IFRSAllocDeprMethodChanged">
                <anchor moveWithCells="1">
                  <from>
                    <xdr:col>2</xdr:col>
                    <xdr:colOff>850900</xdr:colOff>
                    <xdr:row>376</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9" r:id="rId34" name="ddIFRSAlloc11">
              <controlPr defaultSize="0" autoLine="0" autoPict="0" macro="[0]!AllocateOnAssetSelected">
                <anchor moveWithCells="1">
                  <from>
                    <xdr:col>2</xdr:col>
                    <xdr:colOff>850900</xdr:colOff>
                    <xdr:row>378</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80" r:id="rId35" name="ddIFRSDepr11">
              <controlPr defaultSize="0" print="0" autoLine="0" autoPict="0" macro="[0]!IFRSAllocDeprMethodChanged">
                <anchor moveWithCells="1">
                  <from>
                    <xdr:col>2</xdr:col>
                    <xdr:colOff>850900</xdr:colOff>
                    <xdr:row>379</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81" r:id="rId36" name="ddIFRSAlloc12">
              <controlPr defaultSize="0" autoLine="0" autoPict="0" macro="[0]!AllocateOnAssetSelected">
                <anchor moveWithCells="1">
                  <from>
                    <xdr:col>2</xdr:col>
                    <xdr:colOff>850900</xdr:colOff>
                    <xdr:row>381</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82" r:id="rId37" name="ddIFRSDepr12">
              <controlPr defaultSize="0" print="0" autoLine="0" autoPict="0" macro="[0]!IFRSAllocDeprMethodChanged">
                <anchor moveWithCells="1">
                  <from>
                    <xdr:col>2</xdr:col>
                    <xdr:colOff>850900</xdr:colOff>
                    <xdr:row>382</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83" r:id="rId38" name="ddBalDepr001">
              <controlPr defaultSize="0" print="0" autoLine="0" autoPict="0" macro="[0]!BalDeprMethod">
                <anchor moveWithCells="1">
                  <from>
                    <xdr:col>2</xdr:col>
                    <xdr:colOff>850900</xdr:colOff>
                    <xdr:row>720</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84" r:id="rId39" name="ddBalDepr002">
              <controlPr defaultSize="0" print="0" autoLine="0" autoPict="0" macro="[0]!BalDeprMethod">
                <anchor moveWithCells="1">
                  <from>
                    <xdr:col>2</xdr:col>
                    <xdr:colOff>850900</xdr:colOff>
                    <xdr:row>724</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85" r:id="rId40" name="ddBalDepr005">
              <controlPr defaultSize="0" print="0" autoLine="0" autoPict="0" macro="[0]!BalDeprMethod">
                <anchor moveWithCells="1">
                  <from>
                    <xdr:col>2</xdr:col>
                    <xdr:colOff>850900</xdr:colOff>
                    <xdr:row>737</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86" r:id="rId41" name="ddBalDepr006">
              <controlPr defaultSize="0" print="0" autoLine="0" autoPict="0" macro="[0]!BalDeprMethod">
                <anchor moveWithCells="1">
                  <from>
                    <xdr:col>2</xdr:col>
                    <xdr:colOff>850900</xdr:colOff>
                    <xdr:row>741</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87" r:id="rId42" name="ddBalDepr007">
              <controlPr defaultSize="0" print="0" autoLine="0" autoPict="0" macro="[0]!BalDeprMethod">
                <anchor moveWithCells="1">
                  <from>
                    <xdr:col>2</xdr:col>
                    <xdr:colOff>850900</xdr:colOff>
                    <xdr:row>745</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88" r:id="rId43" name="ddBalDepr009">
              <controlPr defaultSize="0" print="0" autoLine="0" autoPict="0" macro="[0]!BalDeprMethod">
                <anchor moveWithCells="1">
                  <from>
                    <xdr:col>2</xdr:col>
                    <xdr:colOff>933450</xdr:colOff>
                    <xdr:row>758</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89" r:id="rId44" name="ddBalDepr010">
              <controlPr defaultSize="0" print="0" autoLine="0" autoPict="0" macro="[0]!BalDeprMethod">
                <anchor moveWithCells="1">
                  <from>
                    <xdr:col>2</xdr:col>
                    <xdr:colOff>933450</xdr:colOff>
                    <xdr:row>762</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90" r:id="rId45" name="ddBalDepr011">
              <controlPr defaultSize="0" print="0" autoLine="0" autoPict="0" macro="[0]!BalDeprMethod">
                <anchor moveWithCells="1">
                  <from>
                    <xdr:col>2</xdr:col>
                    <xdr:colOff>933450</xdr:colOff>
                    <xdr:row>766</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91" r:id="rId46" name="ddBalDepr003">
              <controlPr defaultSize="0" print="0" autoLine="0" autoPict="0" macro="[0]!BalDeprMethod">
                <anchor moveWithCells="1">
                  <from>
                    <xdr:col>2</xdr:col>
                    <xdr:colOff>850900</xdr:colOff>
                    <xdr:row>728</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92" r:id="rId47" name="OutlineDD06">
              <controlPr defaultSize="0" print="0" autoLine="0" autoPict="0" macro="[0]!DetailLevelSelected">
                <anchor moveWithCells="1">
                  <from>
                    <xdr:col>3</xdr:col>
                    <xdr:colOff>209550</xdr:colOff>
                    <xdr:row>842</xdr:row>
                    <xdr:rowOff>19050</xdr:rowOff>
                  </from>
                  <to>
                    <xdr:col>3</xdr:col>
                    <xdr:colOff>603250</xdr:colOff>
                    <xdr:row>843</xdr:row>
                    <xdr:rowOff>88900</xdr:rowOff>
                  </to>
                </anchor>
              </controlPr>
            </control>
          </mc:Choice>
        </mc:AlternateContent>
        <mc:AlternateContent xmlns:mc="http://schemas.openxmlformats.org/markup-compatibility/2006">
          <mc:Choice Requires="x14">
            <control shapeId="2093" r:id="rId48" name="ddBalDepr013">
              <controlPr defaultSize="0" print="0" autoLine="0" autoPict="0" macro="[0]!BalDeprMethod">
                <anchor moveWithCells="1">
                  <from>
                    <xdr:col>2</xdr:col>
                    <xdr:colOff>850900</xdr:colOff>
                    <xdr:row>749</xdr:row>
                    <xdr:rowOff>6350</xdr:rowOff>
                  </from>
                  <to>
                    <xdr:col>2</xdr:col>
                    <xdr:colOff>1460500</xdr:colOff>
                    <xdr:row>771</xdr:row>
                    <xdr:rowOff>25400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autoPageBreaks="0"/>
  </sheetPr>
  <dimension ref="A1:J69"/>
  <sheetViews>
    <sheetView workbookViewId="0">
      <selection activeCell="E52" sqref="E52:E53"/>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8.54296875" style="97" customWidth="1"/>
    <col min="7" max="7" width="9.26953125" style="97" customWidth="1"/>
    <col min="8" max="10" width="5.7265625" style="97" customWidth="1"/>
    <col min="11" max="16384" width="9.1796875" style="97"/>
  </cols>
  <sheetData>
    <row r="1" spans="1:10" ht="12.75" customHeight="1" x14ac:dyDescent="0.35">
      <c r="A1"/>
      <c r="B1"/>
      <c r="C1"/>
      <c r="D1"/>
      <c r="E1"/>
      <c r="F1"/>
      <c r="G1"/>
      <c r="H1"/>
      <c r="I1"/>
      <c r="J1"/>
    </row>
    <row r="2" spans="1:10" ht="12.75" customHeight="1" x14ac:dyDescent="0.35">
      <c r="A2"/>
      <c r="B2"/>
      <c r="C2"/>
      <c r="D2"/>
      <c r="E2"/>
      <c r="F2"/>
      <c r="G2"/>
      <c r="H2"/>
      <c r="I2"/>
      <c r="J2"/>
    </row>
    <row r="3" spans="1:10" ht="12.75" customHeight="1" x14ac:dyDescent="0.35">
      <c r="A3"/>
      <c r="B3"/>
      <c r="C3" t="s">
        <v>2789</v>
      </c>
      <c r="D3"/>
      <c r="E3"/>
      <c r="F3"/>
      <c r="G3"/>
      <c r="H3"/>
      <c r="I3"/>
      <c r="J3"/>
    </row>
    <row r="4" spans="1:10" ht="12.75" customHeight="1" x14ac:dyDescent="0.35">
      <c r="A4"/>
      <c r="B4"/>
      <c r="C4"/>
      <c r="D4"/>
      <c r="E4"/>
      <c r="F4"/>
      <c r="G4"/>
      <c r="H4"/>
      <c r="I4"/>
      <c r="J4"/>
    </row>
    <row r="5" spans="1:10" ht="12.75" customHeight="1" x14ac:dyDescent="0.35">
      <c r="A5"/>
      <c r="B5" t="s">
        <v>2790</v>
      </c>
      <c r="C5" t="s">
        <v>2791</v>
      </c>
      <c r="D5"/>
      <c r="E5"/>
      <c r="F5" s="1388" t="s">
        <v>6355</v>
      </c>
      <c r="G5"/>
      <c r="H5"/>
      <c r="I5"/>
      <c r="J5"/>
    </row>
    <row r="6" spans="1:10" ht="12.75" customHeight="1" x14ac:dyDescent="0.35">
      <c r="A6"/>
      <c r="B6"/>
      <c r="C6"/>
      <c r="D6"/>
      <c r="E6"/>
      <c r="F6"/>
      <c r="G6"/>
      <c r="H6"/>
      <c r="I6"/>
      <c r="J6"/>
    </row>
    <row r="7" spans="1:10" ht="12.75" customHeight="1" x14ac:dyDescent="0.35">
      <c r="A7"/>
      <c r="B7" t="s">
        <v>2792</v>
      </c>
      <c r="C7" t="s">
        <v>2793</v>
      </c>
      <c r="D7"/>
      <c r="E7"/>
      <c r="F7"/>
      <c r="G7"/>
      <c r="H7" t="s">
        <v>2794</v>
      </c>
      <c r="I7"/>
      <c r="J7"/>
    </row>
    <row r="8" spans="1:10" ht="12.75" customHeight="1" x14ac:dyDescent="0.35">
      <c r="A8"/>
      <c r="B8"/>
      <c r="C8" t="s">
        <v>2795</v>
      </c>
      <c r="D8"/>
      <c r="E8"/>
      <c r="F8"/>
      <c r="G8"/>
      <c r="H8"/>
      <c r="I8"/>
      <c r="J8"/>
    </row>
    <row r="9" spans="1:10" ht="12.75" customHeight="1" x14ac:dyDescent="0.35">
      <c r="A9"/>
      <c r="B9" t="s">
        <v>2796</v>
      </c>
      <c r="C9" t="s">
        <v>2797</v>
      </c>
      <c r="D9"/>
      <c r="E9"/>
      <c r="F9"/>
      <c r="G9"/>
      <c r="H9"/>
      <c r="I9"/>
      <c r="J9"/>
    </row>
    <row r="10" spans="1:10" ht="12.75" customHeight="1" x14ac:dyDescent="0.35">
      <c r="A10"/>
      <c r="B10" t="s">
        <v>2798</v>
      </c>
      <c r="C10" t="s">
        <v>2799</v>
      </c>
      <c r="D10"/>
      <c r="E10"/>
      <c r="F10"/>
      <c r="G10"/>
      <c r="H10"/>
      <c r="I10"/>
      <c r="J10"/>
    </row>
    <row r="11" spans="1:10" ht="12.75" customHeight="1" x14ac:dyDescent="0.35">
      <c r="A11"/>
      <c r="B11"/>
      <c r="C11"/>
      <c r="D11"/>
      <c r="E11"/>
      <c r="F11"/>
      <c r="G11"/>
      <c r="H11"/>
      <c r="I11"/>
      <c r="J11"/>
    </row>
    <row r="12" spans="1:10" ht="12.75" customHeight="1" x14ac:dyDescent="0.35">
      <c r="A12"/>
      <c r="B12"/>
      <c r="C12" t="s">
        <v>2800</v>
      </c>
      <c r="D12"/>
      <c r="E12"/>
      <c r="F12"/>
      <c r="G12"/>
      <c r="H12"/>
      <c r="I12"/>
      <c r="J12"/>
    </row>
    <row r="13" spans="1:10" ht="12.75" customHeight="1" x14ac:dyDescent="0.35">
      <c r="A13"/>
      <c r="B13"/>
      <c r="C13" t="s">
        <v>2801</v>
      </c>
      <c r="D13"/>
      <c r="E13"/>
      <c r="F13"/>
      <c r="G13"/>
      <c r="H13"/>
      <c r="I13"/>
      <c r="J13"/>
    </row>
    <row r="14" spans="1:10" ht="12.75" customHeight="1" x14ac:dyDescent="0.35">
      <c r="A14"/>
      <c r="B14"/>
      <c r="C14"/>
      <c r="D14"/>
      <c r="E14"/>
      <c r="F14"/>
      <c r="G14"/>
      <c r="H14"/>
      <c r="I14"/>
      <c r="J14"/>
    </row>
    <row r="15" spans="1:10" ht="12.75" customHeight="1" x14ac:dyDescent="0.35">
      <c r="A15"/>
      <c r="B15"/>
      <c r="C15"/>
      <c r="D15"/>
      <c r="E15"/>
      <c r="F15" t="s">
        <v>2802</v>
      </c>
      <c r="G15"/>
      <c r="H15"/>
      <c r="I15"/>
      <c r="J15"/>
    </row>
    <row r="16" spans="1:10" ht="12.75" customHeight="1" x14ac:dyDescent="0.35">
      <c r="A16">
        <v>7</v>
      </c>
      <c r="B16"/>
      <c r="C16" t="s">
        <v>2803</v>
      </c>
      <c r="D16"/>
      <c r="E16"/>
      <c r="F16"/>
      <c r="G16" t="str">
        <f>IF(BeginEnd=0,"(в начале периода)","(в конце периода)")</f>
        <v>(в начале периода)</v>
      </c>
      <c r="H16"/>
      <c r="I16"/>
      <c r="J16"/>
    </row>
    <row r="17" spans="1:10" ht="12.75" customHeight="1" x14ac:dyDescent="0.35">
      <c r="A17"/>
      <c r="B17"/>
      <c r="C17" t="s">
        <v>2804</v>
      </c>
      <c r="D17"/>
      <c r="E17"/>
      <c r="F17"/>
      <c r="G17" t="str">
        <f>IF(CalcPoint=0,"(в начале периода)","(в конце периода)")</f>
        <v>(в начале периода)</v>
      </c>
      <c r="H17"/>
      <c r="I17"/>
      <c r="J17"/>
    </row>
    <row r="18" spans="1:10" ht="12.75" customHeight="1" x14ac:dyDescent="0.35">
      <c r="A18"/>
      <c r="B18"/>
      <c r="C18" t="s">
        <v>2805</v>
      </c>
      <c r="D18"/>
      <c r="E18"/>
      <c r="F18"/>
      <c r="G18" t="s">
        <v>2806</v>
      </c>
      <c r="H18"/>
      <c r="I18"/>
      <c r="J18"/>
    </row>
    <row r="19" spans="1:10" ht="12.75" customHeight="1" x14ac:dyDescent="0.35">
      <c r="A19"/>
      <c r="B19"/>
      <c r="C19"/>
      <c r="D19"/>
      <c r="E19"/>
      <c r="F19"/>
      <c r="G19"/>
      <c r="H19"/>
      <c r="I19"/>
      <c r="J19"/>
    </row>
    <row r="20" spans="1:10" ht="12.75" customHeight="1" x14ac:dyDescent="0.35">
      <c r="A20"/>
      <c r="B20"/>
      <c r="C20" t="s">
        <v>2807</v>
      </c>
      <c r="D20"/>
      <c r="E20"/>
      <c r="F20"/>
      <c r="G20"/>
      <c r="H20"/>
      <c r="I20"/>
      <c r="J20"/>
    </row>
    <row r="21" spans="1:10" ht="12.75" customHeight="1" x14ac:dyDescent="0.35">
      <c r="A21"/>
      <c r="B21"/>
      <c r="C21" t="s">
        <v>2808</v>
      </c>
      <c r="D21"/>
      <c r="E21"/>
      <c r="F21"/>
      <c r="G21"/>
      <c r="H21"/>
      <c r="I21"/>
      <c r="J21"/>
    </row>
    <row r="22" spans="1:10" ht="12.75" customHeight="1" x14ac:dyDescent="0.35">
      <c r="A22"/>
      <c r="B22"/>
      <c r="C22"/>
      <c r="D22"/>
      <c r="E22"/>
      <c r="F22"/>
      <c r="G22"/>
      <c r="H22"/>
      <c r="I22"/>
      <c r="J22"/>
    </row>
    <row r="23" spans="1:10" ht="12.75" customHeight="1" x14ac:dyDescent="0.35">
      <c r="A23"/>
      <c r="B23"/>
      <c r="C23" t="s">
        <v>2809</v>
      </c>
      <c r="D23"/>
      <c r="E23"/>
      <c r="F23"/>
      <c r="G23" t="str">
        <f>IF(J23="","% (требуемый уровень доходности)","%")</f>
        <v>% (требуемый уровень доходности)</v>
      </c>
      <c r="H23"/>
      <c r="I23"/>
      <c r="J23"/>
    </row>
    <row r="24" spans="1:10" ht="12.75" customHeight="1" x14ac:dyDescent="0.35">
      <c r="A24"/>
      <c r="B24" t="s">
        <v>2810</v>
      </c>
      <c r="C24" t="s">
        <v>2811</v>
      </c>
      <c r="D24"/>
      <c r="E24"/>
      <c r="F24"/>
      <c r="G24"/>
      <c r="H24"/>
      <c r="I24"/>
      <c r="J24"/>
    </row>
    <row r="25" spans="1:10" ht="12.75" customHeight="1" x14ac:dyDescent="0.35">
      <c r="A25"/>
      <c r="B25"/>
      <c r="C25"/>
      <c r="D25"/>
      <c r="E25"/>
      <c r="F25"/>
      <c r="G25"/>
      <c r="H25"/>
      <c r="I25"/>
      <c r="J25"/>
    </row>
    <row r="26" spans="1:10" ht="12.75" customHeight="1" x14ac:dyDescent="0.35">
      <c r="A26"/>
      <c r="B26"/>
      <c r="C26" t="s">
        <v>2812</v>
      </c>
      <c r="D26"/>
      <c r="E26"/>
      <c r="F26"/>
      <c r="G26"/>
      <c r="H26"/>
      <c r="I26"/>
      <c r="J26"/>
    </row>
    <row r="27" spans="1:10" ht="12.75" customHeight="1" x14ac:dyDescent="0.35">
      <c r="A27"/>
      <c r="B27"/>
      <c r="C27" t="s">
        <v>2811</v>
      </c>
      <c r="D27"/>
      <c r="E27"/>
      <c r="F27"/>
      <c r="G27"/>
      <c r="H27"/>
      <c r="I27"/>
      <c r="J27"/>
    </row>
    <row r="28" spans="1:10" ht="12.75" customHeight="1" x14ac:dyDescent="0.35">
      <c r="A28"/>
      <c r="B28"/>
      <c r="C28"/>
      <c r="D28"/>
      <c r="E28"/>
      <c r="F28"/>
      <c r="G28"/>
      <c r="H28"/>
      <c r="I28"/>
      <c r="J28"/>
    </row>
    <row r="29" spans="1:10" ht="12.75" customHeight="1" x14ac:dyDescent="0.35">
      <c r="A29"/>
      <c r="B29"/>
      <c r="C29"/>
      <c r="D29"/>
      <c r="E29"/>
      <c r="F29"/>
      <c r="G29"/>
      <c r="H29"/>
      <c r="I29"/>
      <c r="J29"/>
    </row>
    <row r="30" spans="1:10" ht="12.75" customHeight="1" x14ac:dyDescent="0.35">
      <c r="A30"/>
      <c r="B30"/>
      <c r="C30" t="s">
        <v>2813</v>
      </c>
      <c r="D30"/>
      <c r="E30"/>
      <c r="F30"/>
      <c r="G30"/>
      <c r="H30"/>
      <c r="I30"/>
      <c r="J30"/>
    </row>
    <row r="31" spans="1:10" ht="12.75" customHeight="1" x14ac:dyDescent="0.35">
      <c r="A31"/>
      <c r="B31"/>
      <c r="C31"/>
      <c r="D31"/>
      <c r="E31"/>
      <c r="F31"/>
      <c r="G31"/>
      <c r="H31"/>
      <c r="I31"/>
      <c r="J31"/>
    </row>
    <row r="32" spans="1:10" ht="12.75" customHeight="1" x14ac:dyDescent="0.35">
      <c r="A32"/>
      <c r="B32"/>
      <c r="C32"/>
      <c r="D32"/>
      <c r="E32"/>
      <c r="F32"/>
      <c r="G32"/>
      <c r="H32"/>
      <c r="I32"/>
      <c r="J32"/>
    </row>
    <row r="33" spans="1:10" ht="12.75" customHeight="1" x14ac:dyDescent="0.35">
      <c r="A33"/>
      <c r="B33"/>
      <c r="C33"/>
      <c r="D33"/>
      <c r="E33"/>
      <c r="F33"/>
      <c r="G33"/>
      <c r="H33"/>
      <c r="I33"/>
      <c r="J33"/>
    </row>
    <row r="34" spans="1:10" ht="12.75" customHeight="1" x14ac:dyDescent="0.35">
      <c r="A34"/>
      <c r="B34"/>
      <c r="C34"/>
      <c r="D34"/>
      <c r="E34"/>
      <c r="F34"/>
      <c r="G34"/>
      <c r="H34"/>
      <c r="I34"/>
      <c r="J34"/>
    </row>
    <row r="35" spans="1:10" ht="12.75" customHeight="1" x14ac:dyDescent="0.35">
      <c r="A35"/>
      <c r="B35"/>
      <c r="C35"/>
      <c r="D35"/>
      <c r="E35"/>
      <c r="F35"/>
      <c r="G35"/>
      <c r="H35"/>
      <c r="I35"/>
      <c r="J35"/>
    </row>
    <row r="36" spans="1:10" ht="12.75" customHeight="1" x14ac:dyDescent="0.35">
      <c r="A36"/>
      <c r="B36"/>
      <c r="C36"/>
      <c r="D36"/>
      <c r="E36"/>
      <c r="F36"/>
      <c r="G36"/>
      <c r="H36"/>
      <c r="I36"/>
      <c r="J36"/>
    </row>
    <row r="37" spans="1:10" ht="12.75" customHeight="1" x14ac:dyDescent="0.35">
      <c r="A37"/>
      <c r="B37"/>
      <c r="C37"/>
      <c r="D37"/>
      <c r="E37"/>
      <c r="F37"/>
      <c r="G37"/>
      <c r="H37"/>
      <c r="I37"/>
      <c r="J37"/>
    </row>
    <row r="38" spans="1:10" ht="12.75" customHeight="1" x14ac:dyDescent="0.35">
      <c r="A38"/>
      <c r="B38"/>
      <c r="C38"/>
      <c r="D38"/>
      <c r="E38"/>
      <c r="F38"/>
      <c r="G38"/>
      <c r="H38"/>
      <c r="I38"/>
      <c r="J38"/>
    </row>
    <row r="39" spans="1:10" ht="12.75" customHeight="1" x14ac:dyDescent="0.35">
      <c r="A39"/>
      <c r="B39"/>
      <c r="C39"/>
      <c r="D39"/>
      <c r="E39"/>
      <c r="F39"/>
      <c r="G39"/>
      <c r="H39"/>
      <c r="I39"/>
      <c r="J39"/>
    </row>
    <row r="40" spans="1:10" ht="12.75" customHeight="1" x14ac:dyDescent="0.35">
      <c r="A40"/>
      <c r="B40"/>
      <c r="C40"/>
      <c r="D40"/>
      <c r="E40"/>
      <c r="F40"/>
      <c r="G40"/>
      <c r="H40"/>
      <c r="I40"/>
      <c r="J40"/>
    </row>
    <row r="41" spans="1:10" ht="12.75" customHeight="1" x14ac:dyDescent="0.35">
      <c r="A41"/>
      <c r="B41"/>
      <c r="C41"/>
      <c r="D41"/>
      <c r="E41"/>
      <c r="F41"/>
      <c r="G41"/>
      <c r="H41"/>
      <c r="I41"/>
      <c r="J41"/>
    </row>
    <row r="42" spans="1:10" ht="12.75" customHeight="1" x14ac:dyDescent="0.35">
      <c r="A42"/>
      <c r="B42"/>
      <c r="C42"/>
      <c r="D42"/>
      <c r="E42"/>
      <c r="F42"/>
      <c r="G42"/>
      <c r="H42"/>
      <c r="I42"/>
      <c r="J42"/>
    </row>
    <row r="43" spans="1:10" ht="12.75" customHeight="1" x14ac:dyDescent="0.35">
      <c r="A43"/>
      <c r="B43"/>
      <c r="C43"/>
      <c r="D43"/>
      <c r="E43"/>
      <c r="F43"/>
      <c r="G43"/>
      <c r="H43"/>
      <c r="I43"/>
      <c r="J43"/>
    </row>
    <row r="44" spans="1:10" ht="12.75" customHeight="1" x14ac:dyDescent="0.35">
      <c r="A44"/>
      <c r="B44"/>
      <c r="C44"/>
      <c r="D44"/>
      <c r="E44"/>
      <c r="F44"/>
      <c r="G44"/>
      <c r="H44"/>
      <c r="I44"/>
      <c r="J44"/>
    </row>
    <row r="45" spans="1:10" ht="12.75" customHeight="1" x14ac:dyDescent="0.35">
      <c r="A45"/>
      <c r="B45"/>
      <c r="C45" t="s">
        <v>2814</v>
      </c>
      <c r="D45"/>
      <c r="E45"/>
      <c r="F45"/>
      <c r="G45"/>
      <c r="H45"/>
      <c r="I45"/>
      <c r="J45"/>
    </row>
    <row r="46" spans="1:10" ht="12.75" customHeight="1" x14ac:dyDescent="0.35">
      <c r="A46"/>
      <c r="B46"/>
      <c r="C46"/>
      <c r="D46"/>
      <c r="E46"/>
      <c r="F46"/>
      <c r="G46"/>
      <c r="H46"/>
      <c r="I46"/>
      <c r="J46"/>
    </row>
    <row r="47" spans="1:10" ht="12.75" customHeight="1" x14ac:dyDescent="0.35">
      <c r="A47"/>
      <c r="B47"/>
      <c r="C47" t="s">
        <v>2791</v>
      </c>
      <c r="D47"/>
      <c r="E47"/>
      <c r="F47"/>
      <c r="G47"/>
      <c r="H47"/>
      <c r="I47"/>
      <c r="J47" t="str">
        <f>"Срок вычисления: "&amp;FIXED((InvTime+InvTimeMonths/12+InvTime2+InvTimeMonths2/12),1)&amp;" "&amp;Result!$H$10</f>
        <v>Срок вычисления: 5.3 years</v>
      </c>
    </row>
    <row r="48" spans="1:10" ht="12.75" customHeight="1" x14ac:dyDescent="0.35">
      <c r="A48"/>
      <c r="B48"/>
      <c r="C48"/>
      <c r="D48"/>
      <c r="E48"/>
      <c r="F48"/>
      <c r="G48"/>
      <c r="H48"/>
      <c r="I48"/>
      <c r="J48"/>
    </row>
    <row r="49" spans="1:10" ht="12.75" customHeight="1" x14ac:dyDescent="0.35">
      <c r="A49"/>
      <c r="B49"/>
      <c r="C49"/>
      <c r="D49"/>
      <c r="E49"/>
      <c r="F49"/>
      <c r="G49"/>
      <c r="H49"/>
      <c r="I49"/>
      <c r="J49"/>
    </row>
    <row r="50" spans="1:10" ht="12.75" customHeight="1" x14ac:dyDescent="0.35">
      <c r="A50"/>
      <c r="B50"/>
      <c r="C50" t="s">
        <v>2815</v>
      </c>
      <c r="D50"/>
      <c r="E50" s="1388" t="s">
        <v>6356</v>
      </c>
      <c r="F50"/>
      <c r="G50"/>
      <c r="H50"/>
      <c r="I50"/>
      <c r="J50"/>
    </row>
    <row r="51" spans="1:10" ht="12.75" customHeight="1" x14ac:dyDescent="0.35">
      <c r="A51"/>
      <c r="B51"/>
      <c r="C51" t="s">
        <v>2816</v>
      </c>
      <c r="D51"/>
      <c r="E51" s="1388" t="s">
        <v>6357</v>
      </c>
      <c r="F51"/>
      <c r="G51"/>
      <c r="H51"/>
      <c r="I51"/>
      <c r="J51"/>
    </row>
    <row r="52" spans="1:10" ht="12.75" customHeight="1" x14ac:dyDescent="0.35">
      <c r="A52"/>
      <c r="B52"/>
      <c r="C52"/>
      <c r="D52"/>
      <c r="E52" s="1388" t="s">
        <v>6229</v>
      </c>
      <c r="F52"/>
      <c r="G52"/>
      <c r="H52"/>
      <c r="I52"/>
      <c r="J52"/>
    </row>
    <row r="53" spans="1:10" ht="12.75" customHeight="1" x14ac:dyDescent="0.35">
      <c r="A53"/>
      <c r="B53"/>
      <c r="C53"/>
      <c r="D53"/>
      <c r="E53" s="1388" t="s">
        <v>6230</v>
      </c>
      <c r="F53"/>
      <c r="G53"/>
      <c r="H53"/>
      <c r="I53"/>
      <c r="J53"/>
    </row>
    <row r="54" spans="1:10" ht="12.75" customHeight="1" x14ac:dyDescent="0.35">
      <c r="A54"/>
      <c r="B54"/>
      <c r="D54"/>
      <c r="E54"/>
      <c r="F54"/>
      <c r="G54"/>
      <c r="H54"/>
      <c r="I54"/>
      <c r="J54"/>
    </row>
    <row r="55" spans="1:10" ht="12.75" customHeight="1" x14ac:dyDescent="0.35">
      <c r="A55"/>
      <c r="B55"/>
      <c r="D55"/>
      <c r="E55"/>
      <c r="F55"/>
      <c r="G55"/>
      <c r="H55"/>
      <c r="I55"/>
      <c r="J55"/>
    </row>
    <row r="56" spans="1:10" ht="12.75" customHeight="1" x14ac:dyDescent="0.35">
      <c r="A56"/>
      <c r="B56"/>
      <c r="C56" t="s">
        <v>2817</v>
      </c>
      <c r="D56"/>
      <c r="E56"/>
      <c r="F56"/>
      <c r="G56"/>
      <c r="H56"/>
      <c r="I56"/>
      <c r="J56"/>
    </row>
    <row r="57" spans="1:10" ht="12.75" customHeight="1" x14ac:dyDescent="0.35">
      <c r="A57"/>
      <c r="B57"/>
      <c r="C57"/>
      <c r="D57"/>
      <c r="E57"/>
      <c r="F57"/>
      <c r="G57"/>
      <c r="H57"/>
      <c r="I57"/>
      <c r="J57"/>
    </row>
    <row r="58" spans="1:10" ht="12.75" customHeight="1" x14ac:dyDescent="0.35">
      <c r="A58"/>
      <c r="B58"/>
      <c r="C58" t="s">
        <v>2818</v>
      </c>
      <c r="D58"/>
      <c r="E58" s="1388" t="s">
        <v>6358</v>
      </c>
      <c r="F58"/>
      <c r="G58"/>
      <c r="H58"/>
      <c r="I58"/>
      <c r="J58"/>
    </row>
    <row r="59" spans="1:10" ht="12.75" customHeight="1" x14ac:dyDescent="0.35">
      <c r="A59"/>
      <c r="B59"/>
      <c r="C59"/>
      <c r="D59"/>
      <c r="E59" s="1388" t="s">
        <v>6359</v>
      </c>
      <c r="F59"/>
      <c r="G59"/>
      <c r="H59"/>
      <c r="I59"/>
      <c r="J59"/>
    </row>
    <row r="60" spans="1:10" ht="12.75" customHeight="1" x14ac:dyDescent="0.35">
      <c r="A60"/>
      <c r="B60"/>
      <c r="C60"/>
      <c r="D60"/>
      <c r="E60" s="1388" t="s">
        <v>6360</v>
      </c>
      <c r="F60"/>
      <c r="G60"/>
      <c r="H60"/>
      <c r="I60"/>
      <c r="J60"/>
    </row>
    <row r="61" spans="1:10" ht="12.75" customHeight="1" x14ac:dyDescent="0.35">
      <c r="A61"/>
      <c r="B61"/>
      <c r="C61"/>
      <c r="D61"/>
      <c r="E61"/>
      <c r="F61"/>
      <c r="G61"/>
      <c r="H61"/>
      <c r="I61"/>
      <c r="J61"/>
    </row>
    <row r="62" spans="1:10" ht="12.75" customHeight="1" x14ac:dyDescent="0.35"/>
    <row r="63" spans="1:10" ht="12.75" customHeight="1" x14ac:dyDescent="0.35"/>
    <row r="69" spans="3:3" x14ac:dyDescent="0.35">
      <c r="C69" s="97" t="s">
        <v>2819</v>
      </c>
    </row>
  </sheetData>
  <printOptions gridLines="1"/>
  <pageMargins left="0.75" right="0.75" top="1" bottom="1" header="0.5" footer="0.5"/>
  <pageSetup paperSize="9" orientation="portrait" r:id="rId1"/>
  <headerFooter>
    <oddHeader>&amp;C&amp;A</oddHeader>
    <oddFooter>&amp;CPage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8">
    <tabColor rgb="FF92D050"/>
    <pageSetUpPr autoPageBreaks="0"/>
  </sheetPr>
  <dimension ref="B1:J69"/>
  <sheetViews>
    <sheetView workbookViewId="0">
      <selection activeCell="E50" sqref="E50:E53"/>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11.453125" style="97" customWidth="1"/>
    <col min="7" max="7" width="9.26953125" style="97" customWidth="1"/>
    <col min="8" max="10" width="5.7265625" style="97" customWidth="1"/>
    <col min="11" max="16384" width="9.1796875" style="97"/>
  </cols>
  <sheetData>
    <row r="1" spans="2:10" ht="12.75" customHeight="1" x14ac:dyDescent="0.35">
      <c r="C1"/>
      <c r="D1"/>
      <c r="E1"/>
      <c r="F1"/>
      <c r="G1"/>
      <c r="H1"/>
      <c r="I1"/>
      <c r="J1"/>
    </row>
    <row r="2" spans="2:10" ht="12.75" customHeight="1" x14ac:dyDescent="0.35">
      <c r="C2"/>
      <c r="D2"/>
      <c r="E2"/>
      <c r="F2"/>
      <c r="G2"/>
      <c r="H2"/>
      <c r="I2"/>
      <c r="J2"/>
    </row>
    <row r="3" spans="2:10" ht="12.75" customHeight="1" x14ac:dyDescent="0.35">
      <c r="C3" t="s">
        <v>5711</v>
      </c>
      <c r="D3"/>
      <c r="E3"/>
      <c r="F3"/>
      <c r="G3"/>
      <c r="H3"/>
      <c r="I3"/>
      <c r="J3"/>
    </row>
    <row r="4" spans="2:10" ht="12.75" customHeight="1" x14ac:dyDescent="0.35">
      <c r="C4"/>
      <c r="D4"/>
      <c r="E4"/>
      <c r="F4"/>
      <c r="G4"/>
      <c r="H4"/>
      <c r="I4"/>
      <c r="J4"/>
    </row>
    <row r="5" spans="2:10" ht="12.75" customHeight="1" x14ac:dyDescent="0.35">
      <c r="B5" s="220" t="s">
        <v>5712</v>
      </c>
      <c r="C5" t="s">
        <v>5713</v>
      </c>
      <c r="D5"/>
      <c r="E5"/>
      <c r="F5" s="1390" t="s">
        <v>6369</v>
      </c>
      <c r="G5"/>
      <c r="H5"/>
      <c r="I5"/>
      <c r="J5"/>
    </row>
    <row r="6" spans="2:10" ht="12.75" customHeight="1" x14ac:dyDescent="0.35">
      <c r="C6"/>
      <c r="D6"/>
      <c r="E6"/>
      <c r="F6"/>
      <c r="G6"/>
      <c r="H6"/>
      <c r="I6"/>
      <c r="J6"/>
    </row>
    <row r="7" spans="2:10" ht="12.75" customHeight="1" x14ac:dyDescent="0.35">
      <c r="B7" s="220" t="s">
        <v>5714</v>
      </c>
      <c r="C7" t="s">
        <v>5715</v>
      </c>
      <c r="D7"/>
      <c r="E7"/>
      <c r="F7"/>
      <c r="G7"/>
      <c r="H7" t="s">
        <v>5716</v>
      </c>
      <c r="I7"/>
      <c r="J7"/>
    </row>
    <row r="8" spans="2:10" ht="12.75" customHeight="1" x14ac:dyDescent="0.35">
      <c r="C8" t="s">
        <v>2795</v>
      </c>
      <c r="D8"/>
      <c r="E8"/>
      <c r="F8"/>
      <c r="G8"/>
      <c r="H8"/>
      <c r="I8"/>
      <c r="J8"/>
    </row>
    <row r="9" spans="2:10" ht="12.75" customHeight="1" x14ac:dyDescent="0.35">
      <c r="B9" s="220" t="s">
        <v>5717</v>
      </c>
      <c r="C9" t="s">
        <v>5718</v>
      </c>
      <c r="D9"/>
      <c r="E9"/>
      <c r="F9"/>
      <c r="G9"/>
      <c r="H9"/>
      <c r="I9"/>
      <c r="J9"/>
    </row>
    <row r="10" spans="2:10" ht="12.75" customHeight="1" x14ac:dyDescent="0.35">
      <c r="B10" s="220" t="s">
        <v>5719</v>
      </c>
      <c r="C10" t="s">
        <v>5720</v>
      </c>
      <c r="D10"/>
      <c r="E10"/>
      <c r="F10"/>
      <c r="G10"/>
      <c r="H10"/>
      <c r="I10"/>
      <c r="J10"/>
    </row>
    <row r="11" spans="2:10" ht="12.75" customHeight="1" x14ac:dyDescent="0.35">
      <c r="C11"/>
      <c r="D11"/>
      <c r="E11"/>
      <c r="F11"/>
      <c r="G11"/>
      <c r="H11"/>
      <c r="I11"/>
      <c r="J11"/>
    </row>
    <row r="12" spans="2:10" ht="12.75" customHeight="1" x14ac:dyDescent="0.35">
      <c r="C12" t="s">
        <v>5721</v>
      </c>
      <c r="D12"/>
      <c r="E12"/>
      <c r="F12"/>
      <c r="G12"/>
      <c r="H12"/>
      <c r="I12"/>
      <c r="J12"/>
    </row>
    <row r="13" spans="2:10" ht="12.75" customHeight="1" x14ac:dyDescent="0.35">
      <c r="C13" t="s">
        <v>5722</v>
      </c>
      <c r="D13"/>
      <c r="E13"/>
      <c r="F13"/>
      <c r="G13"/>
      <c r="H13"/>
      <c r="I13"/>
      <c r="J13"/>
    </row>
    <row r="14" spans="2:10" ht="12.75" customHeight="1" x14ac:dyDescent="0.35">
      <c r="C14"/>
      <c r="D14"/>
      <c r="E14"/>
      <c r="F14"/>
      <c r="G14"/>
      <c r="H14"/>
      <c r="I14"/>
      <c r="J14"/>
    </row>
    <row r="15" spans="2:10" ht="12.75" customHeight="1" x14ac:dyDescent="0.35">
      <c r="C15"/>
      <c r="D15"/>
      <c r="E15"/>
      <c r="F15" t="s">
        <v>2802</v>
      </c>
      <c r="G15"/>
      <c r="H15"/>
      <c r="I15"/>
      <c r="J15"/>
    </row>
    <row r="16" spans="2:10" ht="12.75" customHeight="1" x14ac:dyDescent="0.35">
      <c r="C16" t="s">
        <v>6149</v>
      </c>
      <c r="D16"/>
      <c r="E16"/>
      <c r="F16"/>
      <c r="G16" s="159" t="str">
        <f>IF(BeginEnd=0,"(в началото на  периода)","(в края на  периода)")</f>
        <v>(в началото на  периода)</v>
      </c>
      <c r="H16"/>
      <c r="I16"/>
      <c r="J16"/>
    </row>
    <row r="17" spans="2:10" ht="12.75" customHeight="1" x14ac:dyDescent="0.35">
      <c r="C17" t="s">
        <v>5723</v>
      </c>
      <c r="D17"/>
      <c r="E17"/>
      <c r="F17"/>
      <c r="G17" s="159" t="s">
        <v>6130</v>
      </c>
      <c r="H17"/>
      <c r="I17"/>
      <c r="J17"/>
    </row>
    <row r="18" spans="2:10" ht="12.75" customHeight="1" x14ac:dyDescent="0.35">
      <c r="C18" t="s">
        <v>6150</v>
      </c>
      <c r="D18"/>
      <c r="E18"/>
      <c r="F18"/>
      <c r="G18" t="s">
        <v>5724</v>
      </c>
      <c r="H18"/>
      <c r="I18"/>
      <c r="J18"/>
    </row>
    <row r="19" spans="2:10" ht="12.75" customHeight="1" x14ac:dyDescent="0.35">
      <c r="C19"/>
      <c r="D19"/>
      <c r="E19"/>
      <c r="F19"/>
      <c r="G19"/>
      <c r="H19"/>
      <c r="I19"/>
      <c r="J19"/>
    </row>
    <row r="20" spans="2:10" ht="12.75" customHeight="1" x14ac:dyDescent="0.35">
      <c r="C20" t="s">
        <v>2807</v>
      </c>
      <c r="D20"/>
      <c r="E20"/>
      <c r="F20"/>
      <c r="G20"/>
      <c r="H20"/>
      <c r="I20"/>
      <c r="J20"/>
    </row>
    <row r="21" spans="2:10" ht="12.75" customHeight="1" x14ac:dyDescent="0.35">
      <c r="C21" t="s">
        <v>5725</v>
      </c>
      <c r="D21"/>
      <c r="E21"/>
      <c r="F21"/>
      <c r="G21"/>
      <c r="H21"/>
      <c r="I21"/>
      <c r="J21"/>
    </row>
    <row r="22" spans="2:10" ht="12.75" customHeight="1" x14ac:dyDescent="0.35">
      <c r="C22"/>
      <c r="D22"/>
      <c r="E22"/>
      <c r="F22"/>
      <c r="G22"/>
      <c r="H22"/>
      <c r="I22"/>
      <c r="J22"/>
    </row>
    <row r="23" spans="2:10" ht="12.75" customHeight="1" x14ac:dyDescent="0.35">
      <c r="C23" t="s">
        <v>5726</v>
      </c>
      <c r="D23"/>
      <c r="E23"/>
      <c r="F23"/>
      <c r="G23" t="str">
        <f>IF(J23="","% (необходимо ниво на доходност)","%")</f>
        <v>% (необходимо ниво на доходност)</v>
      </c>
      <c r="H23"/>
      <c r="I23"/>
      <c r="J23"/>
    </row>
    <row r="24" spans="2:10" ht="12.75" customHeight="1" x14ac:dyDescent="0.35">
      <c r="B24" s="220" t="s">
        <v>5727</v>
      </c>
      <c r="C24" t="s">
        <v>5728</v>
      </c>
      <c r="D24"/>
      <c r="E24"/>
      <c r="F24"/>
      <c r="G24"/>
      <c r="H24"/>
      <c r="I24"/>
      <c r="J24"/>
    </row>
    <row r="25" spans="2:10" ht="12.75" customHeight="1" x14ac:dyDescent="0.35">
      <c r="C25"/>
      <c r="D25"/>
      <c r="E25"/>
      <c r="F25"/>
      <c r="G25"/>
      <c r="H25"/>
      <c r="I25"/>
      <c r="J25"/>
    </row>
    <row r="26" spans="2:10" ht="12.75" customHeight="1" x14ac:dyDescent="0.35">
      <c r="C26" t="s">
        <v>5729</v>
      </c>
      <c r="D26"/>
      <c r="E26"/>
      <c r="F26"/>
      <c r="G26"/>
      <c r="H26"/>
      <c r="I26"/>
      <c r="J26"/>
    </row>
    <row r="27" spans="2:10" ht="12.75" customHeight="1" x14ac:dyDescent="0.35">
      <c r="C27" t="s">
        <v>5728</v>
      </c>
      <c r="D27"/>
      <c r="E27"/>
      <c r="F27"/>
      <c r="G27"/>
      <c r="H27"/>
      <c r="I27"/>
      <c r="J27"/>
    </row>
    <row r="28" spans="2:10" ht="12.75" customHeight="1" x14ac:dyDescent="0.35">
      <c r="C28"/>
      <c r="D28"/>
      <c r="E28"/>
      <c r="F28"/>
      <c r="G28"/>
      <c r="H28"/>
      <c r="I28"/>
      <c r="J28"/>
    </row>
    <row r="29" spans="2:10" ht="12.75" customHeight="1" x14ac:dyDescent="0.35">
      <c r="C29"/>
      <c r="D29"/>
      <c r="E29"/>
      <c r="F29"/>
      <c r="G29"/>
      <c r="H29"/>
      <c r="I29"/>
      <c r="J29"/>
    </row>
    <row r="30" spans="2:10" ht="12.75" customHeight="1" x14ac:dyDescent="0.35">
      <c r="C30" t="s">
        <v>5730</v>
      </c>
      <c r="D30"/>
      <c r="E30"/>
      <c r="F30"/>
      <c r="G30"/>
      <c r="H30"/>
      <c r="I30"/>
      <c r="J30"/>
    </row>
    <row r="31" spans="2:10" ht="12.75" customHeight="1" x14ac:dyDescent="0.35">
      <c r="C31"/>
      <c r="D31"/>
      <c r="E31"/>
      <c r="F31"/>
      <c r="G31"/>
      <c r="H31"/>
      <c r="I31"/>
      <c r="J31"/>
    </row>
    <row r="32" spans="2:10" ht="12.75" customHeight="1" x14ac:dyDescent="0.35">
      <c r="C32"/>
      <c r="D32"/>
      <c r="E32"/>
      <c r="F32"/>
      <c r="G32"/>
      <c r="H32"/>
      <c r="I32"/>
      <c r="J32"/>
    </row>
    <row r="33" spans="3:10" ht="12.75" customHeight="1" x14ac:dyDescent="0.35">
      <c r="C33"/>
      <c r="D33"/>
      <c r="E33"/>
      <c r="F33"/>
      <c r="G33"/>
      <c r="H33"/>
      <c r="I33"/>
      <c r="J33"/>
    </row>
    <row r="34" spans="3:10" ht="12.75" customHeight="1" x14ac:dyDescent="0.35">
      <c r="C34"/>
      <c r="D34"/>
      <c r="E34"/>
      <c r="F34"/>
      <c r="G34"/>
      <c r="H34"/>
      <c r="I34"/>
      <c r="J34"/>
    </row>
    <row r="35" spans="3:10" ht="12.75" customHeight="1" x14ac:dyDescent="0.35">
      <c r="C35"/>
      <c r="D35"/>
      <c r="E35"/>
      <c r="F35"/>
      <c r="G35"/>
      <c r="H35"/>
      <c r="I35"/>
      <c r="J35"/>
    </row>
    <row r="36" spans="3:10" ht="12.75" customHeight="1" x14ac:dyDescent="0.35">
      <c r="C36"/>
      <c r="D36"/>
      <c r="E36"/>
      <c r="F36"/>
      <c r="G36"/>
      <c r="H36"/>
      <c r="I36"/>
      <c r="J36"/>
    </row>
    <row r="37" spans="3:10" ht="12.75" customHeight="1" x14ac:dyDescent="0.35">
      <c r="C37"/>
      <c r="D37"/>
      <c r="E37"/>
      <c r="F37"/>
      <c r="G37"/>
      <c r="H37"/>
      <c r="I37"/>
      <c r="J37"/>
    </row>
    <row r="38" spans="3:10" ht="12.75" customHeight="1" x14ac:dyDescent="0.35">
      <c r="C38"/>
      <c r="D38"/>
      <c r="E38"/>
      <c r="F38"/>
      <c r="G38"/>
      <c r="H38"/>
      <c r="I38"/>
      <c r="J38"/>
    </row>
    <row r="39" spans="3:10" ht="12.75" customHeight="1" x14ac:dyDescent="0.35">
      <c r="C39"/>
      <c r="D39"/>
      <c r="E39"/>
      <c r="F39"/>
      <c r="G39"/>
      <c r="H39"/>
      <c r="I39"/>
      <c r="J39"/>
    </row>
    <row r="40" spans="3:10" ht="12.75" customHeight="1" x14ac:dyDescent="0.35">
      <c r="C40"/>
      <c r="D40"/>
      <c r="E40"/>
      <c r="F40"/>
      <c r="G40"/>
      <c r="H40"/>
      <c r="I40"/>
      <c r="J40"/>
    </row>
    <row r="41" spans="3:10" ht="12.75" customHeight="1" x14ac:dyDescent="0.35">
      <c r="C41"/>
      <c r="D41"/>
      <c r="E41"/>
      <c r="F41"/>
      <c r="G41"/>
      <c r="H41"/>
      <c r="I41"/>
      <c r="J41"/>
    </row>
    <row r="42" spans="3:10" ht="12.75" customHeight="1" x14ac:dyDescent="0.35">
      <c r="C42"/>
      <c r="D42"/>
      <c r="E42"/>
      <c r="F42"/>
      <c r="G42"/>
      <c r="H42"/>
      <c r="I42"/>
      <c r="J42"/>
    </row>
    <row r="43" spans="3:10" ht="12.75" customHeight="1" x14ac:dyDescent="0.35">
      <c r="C43"/>
      <c r="D43"/>
      <c r="E43"/>
      <c r="F43"/>
      <c r="G43"/>
      <c r="H43"/>
      <c r="I43"/>
      <c r="J43"/>
    </row>
    <row r="44" spans="3:10" ht="12.75" customHeight="1" x14ac:dyDescent="0.35">
      <c r="C44"/>
      <c r="D44"/>
      <c r="E44"/>
      <c r="F44"/>
      <c r="G44"/>
      <c r="H44"/>
      <c r="I44"/>
      <c r="J44"/>
    </row>
    <row r="45" spans="3:10" ht="12.75" customHeight="1" x14ac:dyDescent="0.35">
      <c r="C45" t="s">
        <v>5731</v>
      </c>
      <c r="D45"/>
      <c r="E45"/>
      <c r="F45"/>
      <c r="G45"/>
      <c r="H45"/>
      <c r="I45"/>
      <c r="J45"/>
    </row>
    <row r="46" spans="3:10" ht="12.75" customHeight="1" x14ac:dyDescent="0.35">
      <c r="C46"/>
      <c r="D46"/>
      <c r="E46"/>
      <c r="F46"/>
      <c r="G46"/>
      <c r="H46"/>
      <c r="I46"/>
      <c r="J46"/>
    </row>
    <row r="47" spans="3:10" ht="12.75" customHeight="1" x14ac:dyDescent="0.35">
      <c r="C47" t="s">
        <v>5713</v>
      </c>
      <c r="D47"/>
      <c r="E47"/>
      <c r="F47"/>
      <c r="G47"/>
      <c r="H47"/>
      <c r="I47"/>
      <c r="J47" s="159" t="s">
        <v>6129</v>
      </c>
    </row>
    <row r="48" spans="3:10" ht="12.75" customHeight="1" x14ac:dyDescent="0.35">
      <c r="C48"/>
      <c r="D48"/>
      <c r="E48"/>
      <c r="F48"/>
      <c r="G48"/>
      <c r="H48"/>
      <c r="I48"/>
      <c r="J48"/>
    </row>
    <row r="49" spans="3:10" ht="12.75" customHeight="1" x14ac:dyDescent="0.35">
      <c r="C49"/>
      <c r="D49"/>
      <c r="E49"/>
      <c r="F49"/>
      <c r="G49"/>
      <c r="H49"/>
      <c r="I49"/>
      <c r="J49"/>
    </row>
    <row r="50" spans="3:10" ht="12.75" customHeight="1" x14ac:dyDescent="0.35">
      <c r="C50" t="s">
        <v>5732</v>
      </c>
      <c r="D50"/>
      <c r="E50" s="1390" t="s">
        <v>6372</v>
      </c>
      <c r="F50"/>
      <c r="G50"/>
      <c r="H50"/>
      <c r="I50"/>
      <c r="J50"/>
    </row>
    <row r="51" spans="3:10" ht="12.75" customHeight="1" x14ac:dyDescent="0.35">
      <c r="C51" t="s">
        <v>2816</v>
      </c>
      <c r="D51"/>
      <c r="E51" s="1390" t="s">
        <v>6373</v>
      </c>
      <c r="F51"/>
      <c r="G51"/>
      <c r="H51"/>
      <c r="I51"/>
      <c r="J51"/>
    </row>
    <row r="52" spans="3:10" ht="12.75" customHeight="1" x14ac:dyDescent="0.35">
      <c r="C52"/>
      <c r="D52"/>
      <c r="E52" s="1390" t="s">
        <v>6229</v>
      </c>
      <c r="F52"/>
      <c r="G52"/>
      <c r="H52"/>
      <c r="I52"/>
      <c r="J52"/>
    </row>
    <row r="53" spans="3:10" ht="12.75" customHeight="1" x14ac:dyDescent="0.35">
      <c r="C53"/>
      <c r="D53"/>
      <c r="E53" s="1390" t="s">
        <v>6230</v>
      </c>
      <c r="F53"/>
      <c r="G53"/>
      <c r="H53"/>
      <c r="I53"/>
      <c r="J53"/>
    </row>
    <row r="54" spans="3:10" ht="12.75" customHeight="1" x14ac:dyDescent="0.35">
      <c r="C54"/>
      <c r="D54"/>
      <c r="E54"/>
      <c r="F54"/>
      <c r="G54"/>
      <c r="H54"/>
      <c r="I54"/>
      <c r="J54"/>
    </row>
    <row r="55" spans="3:10" ht="12.75" customHeight="1" x14ac:dyDescent="0.35">
      <c r="C55"/>
      <c r="D55"/>
      <c r="E55"/>
      <c r="F55"/>
      <c r="G55"/>
      <c r="H55"/>
      <c r="I55"/>
      <c r="J55"/>
    </row>
    <row r="56" spans="3:10" ht="12.75" customHeight="1" x14ac:dyDescent="0.35">
      <c r="C56" t="s">
        <v>2817</v>
      </c>
      <c r="D56"/>
      <c r="E56"/>
      <c r="F56"/>
      <c r="G56"/>
      <c r="H56"/>
      <c r="I56"/>
      <c r="J56"/>
    </row>
    <row r="57" spans="3:10" ht="12.75" customHeight="1" x14ac:dyDescent="0.35">
      <c r="C57"/>
      <c r="D57"/>
      <c r="E57"/>
      <c r="F57"/>
      <c r="G57"/>
      <c r="H57"/>
      <c r="I57"/>
      <c r="J57"/>
    </row>
    <row r="58" spans="3:10" ht="12.75" customHeight="1" x14ac:dyDescent="0.35">
      <c r="C58" t="s">
        <v>5733</v>
      </c>
      <c r="D58"/>
      <c r="E58" s="1390" t="s">
        <v>6370</v>
      </c>
      <c r="F58"/>
      <c r="G58"/>
      <c r="H58"/>
      <c r="I58"/>
      <c r="J58"/>
    </row>
    <row r="59" spans="3:10" ht="12.75" customHeight="1" x14ac:dyDescent="0.35">
      <c r="C59"/>
      <c r="D59"/>
      <c r="E59" s="1390" t="s">
        <v>6371</v>
      </c>
      <c r="F59"/>
      <c r="G59"/>
      <c r="H59"/>
      <c r="I59"/>
      <c r="J59"/>
    </row>
    <row r="60" spans="3:10" ht="12.75" customHeight="1" x14ac:dyDescent="0.35">
      <c r="C60"/>
      <c r="D60"/>
      <c r="E60" s="1390" t="s">
        <v>45</v>
      </c>
      <c r="F60"/>
      <c r="G60"/>
      <c r="H60"/>
      <c r="I60"/>
      <c r="J60"/>
    </row>
    <row r="61" spans="3:10" ht="12.75" customHeight="1" x14ac:dyDescent="0.35">
      <c r="C61"/>
      <c r="D61"/>
      <c r="E61"/>
      <c r="F61"/>
      <c r="G61"/>
      <c r="H61"/>
      <c r="I61"/>
      <c r="J61"/>
    </row>
    <row r="62" spans="3:10" x14ac:dyDescent="0.35">
      <c r="C62"/>
      <c r="D62"/>
      <c r="E62"/>
      <c r="F62"/>
      <c r="G62"/>
      <c r="H62"/>
      <c r="I62"/>
      <c r="J62"/>
    </row>
    <row r="63" spans="3:10" x14ac:dyDescent="0.35">
      <c r="C63"/>
      <c r="D63"/>
      <c r="E63"/>
      <c r="F63"/>
      <c r="G63"/>
      <c r="H63"/>
      <c r="I63"/>
      <c r="J63"/>
    </row>
    <row r="64" spans="3:10" x14ac:dyDescent="0.35">
      <c r="C64"/>
      <c r="D64"/>
      <c r="E64"/>
      <c r="F64"/>
      <c r="G64"/>
      <c r="H64"/>
      <c r="I64"/>
      <c r="J64"/>
    </row>
    <row r="65" spans="3:10" x14ac:dyDescent="0.35">
      <c r="C65"/>
      <c r="D65"/>
      <c r="E65"/>
      <c r="F65"/>
      <c r="G65"/>
      <c r="H65"/>
      <c r="I65"/>
      <c r="J65"/>
    </row>
    <row r="66" spans="3:10" x14ac:dyDescent="0.35">
      <c r="C66"/>
      <c r="D66"/>
      <c r="E66"/>
      <c r="F66"/>
      <c r="G66"/>
      <c r="H66"/>
      <c r="I66"/>
      <c r="J66"/>
    </row>
    <row r="67" spans="3:10" x14ac:dyDescent="0.35">
      <c r="C67"/>
      <c r="D67"/>
      <c r="E67"/>
      <c r="F67"/>
      <c r="G67"/>
      <c r="H67"/>
      <c r="I67"/>
      <c r="J67"/>
    </row>
    <row r="68" spans="3:10" x14ac:dyDescent="0.35">
      <c r="C68"/>
      <c r="D68"/>
      <c r="E68"/>
      <c r="F68"/>
      <c r="G68"/>
      <c r="H68"/>
      <c r="I68"/>
      <c r="J68"/>
    </row>
    <row r="69" spans="3:10" x14ac:dyDescent="0.35">
      <c r="C69" t="s">
        <v>5734</v>
      </c>
      <c r="D69"/>
      <c r="E69"/>
      <c r="F69"/>
      <c r="G69"/>
      <c r="H69"/>
      <c r="I69"/>
      <c r="J69"/>
    </row>
  </sheetData>
  <printOptions gridLines="1"/>
  <pageMargins left="0.75" right="0.75" top="1" bottom="1" header="0.5" footer="0.5"/>
  <pageSetup paperSize="9" orientation="portrait" r:id="rId1"/>
  <headerFooter>
    <oddHeader>&amp;C&amp;A</oddHeader>
    <oddFooter>&amp;CPage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autoPageBreaks="0"/>
  </sheetPr>
  <dimension ref="A1:D847"/>
  <sheetViews>
    <sheetView topLeftCell="A418" workbookViewId="0">
      <selection activeCell="A391" sqref="A391"/>
    </sheetView>
  </sheetViews>
  <sheetFormatPr defaultColWidth="9.1796875" defaultRowHeight="14.5" x14ac:dyDescent="0.35"/>
  <cols>
    <col min="1" max="1" width="0.81640625" style="97" customWidth="1"/>
    <col min="2" max="16384" width="9.1796875" style="97"/>
  </cols>
  <sheetData>
    <row r="1" spans="1:4" ht="12.75" customHeight="1" x14ac:dyDescent="0.35">
      <c r="A1" s="28"/>
      <c r="B1" s="28" t="s">
        <v>37</v>
      </c>
      <c r="C1" s="28"/>
      <c r="D1" s="28"/>
    </row>
    <row r="2" spans="1:4" ht="12.75" customHeight="1" x14ac:dyDescent="0.35">
      <c r="A2" s="28"/>
      <c r="B2" s="28" t="s">
        <v>41</v>
      </c>
      <c r="C2" s="28"/>
      <c r="D2" s="28"/>
    </row>
    <row r="3" spans="1:4" ht="12.75" customHeight="1" x14ac:dyDescent="0.35">
      <c r="A3" s="28"/>
      <c r="B3" s="28" t="s">
        <v>43</v>
      </c>
      <c r="C3" s="28"/>
      <c r="D3" s="28"/>
    </row>
    <row r="4" spans="1:4" ht="12.75" customHeight="1" x14ac:dyDescent="0.35">
      <c r="A4" s="28"/>
      <c r="B4" s="28" t="s">
        <v>44</v>
      </c>
      <c r="C4" s="28"/>
      <c r="D4" s="28"/>
    </row>
    <row r="5" spans="1:4" ht="12.75" customHeight="1" x14ac:dyDescent="0.35">
      <c r="A5" s="28"/>
      <c r="B5" s="28" t="s">
        <v>47</v>
      </c>
      <c r="C5" s="28"/>
      <c r="D5" s="28"/>
    </row>
    <row r="6" spans="1:4" ht="12.75" customHeight="1" x14ac:dyDescent="0.35">
      <c r="A6" s="28"/>
      <c r="B6" s="28" t="s">
        <v>2820</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57</v>
      </c>
      <c r="C11" s="28"/>
      <c r="D11" s="28"/>
    </row>
    <row r="12" spans="1:4" ht="12.75" customHeight="1" x14ac:dyDescent="0.35">
      <c r="A12" s="28"/>
      <c r="B12" s="28" t="s">
        <v>59</v>
      </c>
      <c r="C12" s="28"/>
      <c r="D12" s="28"/>
    </row>
    <row r="13" spans="1:4" ht="12.75" customHeight="1" x14ac:dyDescent="0.35">
      <c r="A13" s="28"/>
      <c r="B13" s="28" t="s">
        <v>62</v>
      </c>
      <c r="C13" s="28"/>
      <c r="D13" s="28"/>
    </row>
    <row r="14" spans="1:4" ht="12.75" customHeight="1" x14ac:dyDescent="0.35">
      <c r="A14" s="28"/>
      <c r="B14" s="28"/>
      <c r="C14" s="28"/>
      <c r="D14" s="28"/>
    </row>
    <row r="15" spans="1:4" ht="12.75" customHeight="1" x14ac:dyDescent="0.35">
      <c r="A15" s="28"/>
      <c r="B15" s="28" t="s">
        <v>64</v>
      </c>
      <c r="C15" s="28"/>
      <c r="D15" s="28"/>
    </row>
    <row r="16" spans="1:4" ht="12.75" customHeight="1" x14ac:dyDescent="0.35">
      <c r="A16" s="28"/>
      <c r="B16" s="28"/>
      <c r="C16" s="28"/>
      <c r="D16" s="28"/>
    </row>
    <row r="17" spans="1:4" ht="12.75" customHeight="1" x14ac:dyDescent="0.35">
      <c r="A17" s="28"/>
      <c r="B17" s="28" t="s">
        <v>59</v>
      </c>
      <c r="C17" s="28"/>
      <c r="D17" s="28" t="s">
        <v>69</v>
      </c>
    </row>
    <row r="18" spans="1:4" ht="12.75" customHeight="1" x14ac:dyDescent="0.35">
      <c r="A18" s="28"/>
      <c r="B18" s="28"/>
      <c r="C18" s="28"/>
      <c r="D18" s="28"/>
    </row>
    <row r="19" spans="1:4" ht="12.75" customHeight="1" x14ac:dyDescent="0.35">
      <c r="A19" s="28"/>
      <c r="B19" s="28"/>
      <c r="C19" s="1377" t="s">
        <v>6225</v>
      </c>
      <c r="D19" s="28"/>
    </row>
    <row r="20" spans="1:4" ht="12.75" customHeight="1" x14ac:dyDescent="0.35">
      <c r="A20" s="28"/>
      <c r="B20" s="53" t="s">
        <v>6247</v>
      </c>
      <c r="C20" s="28"/>
      <c r="D20" s="28"/>
    </row>
    <row r="21" spans="1:4" ht="12.75" customHeight="1" x14ac:dyDescent="0.35">
      <c r="A21" s="28"/>
      <c r="B21" s="28"/>
      <c r="C21" s="28" t="s">
        <v>80</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53" t="s">
        <v>77</v>
      </c>
      <c r="C24" s="28"/>
      <c r="D24" s="28"/>
    </row>
    <row r="25" spans="1:4" ht="12.75" customHeight="1" x14ac:dyDescent="0.35">
      <c r="A25" s="28"/>
      <c r="B25" s="28"/>
      <c r="C25" s="104" t="s">
        <v>90</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1377" t="s">
        <v>6240</v>
      </c>
      <c r="D29" s="28"/>
    </row>
    <row r="30" spans="1:4" ht="12.75" customHeight="1" x14ac:dyDescent="0.35">
      <c r="A30" s="28"/>
      <c r="B30" s="28" t="s">
        <v>77</v>
      </c>
      <c r="C30" s="28"/>
      <c r="D30" s="28"/>
    </row>
    <row r="31" spans="1:4" ht="12.75" customHeight="1" x14ac:dyDescent="0.35">
      <c r="A31" s="28"/>
      <c r="B31" s="28"/>
      <c r="C31" s="28" t="s">
        <v>80</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53" t="s">
        <v>77</v>
      </c>
      <c r="C34" s="28"/>
      <c r="D34" s="28"/>
    </row>
    <row r="35" spans="1:4" ht="12.75" customHeight="1" x14ac:dyDescent="0.35">
      <c r="A35" s="28"/>
      <c r="B35" s="28"/>
      <c r="C35" s="104" t="s">
        <v>90</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1377" t="s">
        <v>6241</v>
      </c>
      <c r="D39" s="28"/>
    </row>
    <row r="40" spans="1:4" ht="12.75" customHeight="1" x14ac:dyDescent="0.35">
      <c r="A40" s="28"/>
      <c r="B40" s="28" t="s">
        <v>77</v>
      </c>
      <c r="C40" s="28"/>
      <c r="D40" s="28"/>
    </row>
    <row r="41" spans="1:4" ht="12.75" customHeight="1" x14ac:dyDescent="0.35">
      <c r="A41" s="28"/>
      <c r="B41" s="28"/>
      <c r="C41" s="28" t="s">
        <v>80</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53" t="s">
        <v>77</v>
      </c>
      <c r="C44" s="28"/>
      <c r="D44" s="28"/>
    </row>
    <row r="45" spans="1:4" ht="12.75" customHeight="1" x14ac:dyDescent="0.35">
      <c r="A45" s="28"/>
      <c r="B45" s="28"/>
      <c r="C45" s="104" t="s">
        <v>90</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t="s">
        <v>77</v>
      </c>
      <c r="C50" s="28"/>
      <c r="D50" s="28"/>
    </row>
    <row r="51" spans="1:4" ht="12.75" customHeight="1" x14ac:dyDescent="0.35">
      <c r="A51" s="28"/>
      <c r="B51" s="28"/>
      <c r="C51" s="28" t="s">
        <v>80</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53" t="s">
        <v>77</v>
      </c>
      <c r="C54" s="28"/>
      <c r="D54" s="28"/>
    </row>
    <row r="55" spans="1:4" ht="12.75" customHeight="1" x14ac:dyDescent="0.35">
      <c r="A55" s="28"/>
      <c r="B55" s="28"/>
      <c r="C55" s="104" t="s">
        <v>90</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t="s">
        <v>77</v>
      </c>
      <c r="C60" s="28"/>
      <c r="D60" s="28"/>
    </row>
    <row r="61" spans="1:4" ht="12.75" customHeight="1" x14ac:dyDescent="0.35">
      <c r="A61" s="28"/>
      <c r="B61" s="28"/>
      <c r="C61" s="28" t="s">
        <v>80</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53" t="s">
        <v>77</v>
      </c>
      <c r="C64" s="28"/>
      <c r="D64" s="28"/>
    </row>
    <row r="65" spans="1:4" ht="12.75" customHeight="1" x14ac:dyDescent="0.35">
      <c r="A65" s="28"/>
      <c r="B65" s="28"/>
      <c r="C65" s="104" t="s">
        <v>90</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t="s">
        <v>77</v>
      </c>
      <c r="C70" s="28"/>
      <c r="D70" s="28"/>
    </row>
    <row r="71" spans="1:4" ht="12.75" customHeight="1" x14ac:dyDescent="0.35">
      <c r="A71" s="28"/>
      <c r="B71" s="28"/>
      <c r="C71" s="28" t="s">
        <v>80</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53" t="s">
        <v>77</v>
      </c>
      <c r="C74" s="28"/>
      <c r="D74" s="28"/>
    </row>
    <row r="75" spans="1:4" ht="12.75" customHeight="1" x14ac:dyDescent="0.35">
      <c r="A75" s="28"/>
      <c r="B75" s="28"/>
      <c r="C75" s="104" t="s">
        <v>90</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t="s">
        <v>77</v>
      </c>
      <c r="C80" s="28"/>
      <c r="D80" s="28"/>
    </row>
    <row r="81" spans="1:4" ht="12.75" customHeight="1" x14ac:dyDescent="0.35">
      <c r="A81" s="28"/>
      <c r="B81" s="28"/>
      <c r="C81" s="28" t="s">
        <v>80</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53" t="s">
        <v>77</v>
      </c>
      <c r="C84" s="28"/>
      <c r="D84" s="28"/>
    </row>
    <row r="85" spans="1:4" ht="12.75" customHeight="1" x14ac:dyDescent="0.35">
      <c r="A85" s="28"/>
      <c r="B85" s="28"/>
      <c r="C85" s="104" t="s">
        <v>90</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t="s">
        <v>77</v>
      </c>
      <c r="C90" s="28"/>
      <c r="D90" s="28"/>
    </row>
    <row r="91" spans="1:4" ht="12.75" customHeight="1" x14ac:dyDescent="0.35">
      <c r="A91" s="28"/>
      <c r="B91" s="28"/>
      <c r="C91" s="28" t="s">
        <v>80</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53" t="s">
        <v>77</v>
      </c>
      <c r="C94" s="28"/>
      <c r="D94" s="28"/>
    </row>
    <row r="95" spans="1:4" ht="12.75" customHeight="1" x14ac:dyDescent="0.35">
      <c r="A95" s="28"/>
      <c r="B95" s="28"/>
      <c r="C95" s="104" t="s">
        <v>90</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t="s">
        <v>77</v>
      </c>
      <c r="C100" s="28"/>
      <c r="D100" s="28"/>
    </row>
    <row r="101" spans="1:4" ht="12.75" customHeight="1" x14ac:dyDescent="0.35">
      <c r="A101" s="28"/>
      <c r="B101" s="28"/>
      <c r="C101" s="28" t="s">
        <v>80</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53" t="s">
        <v>77</v>
      </c>
      <c r="C104" s="28"/>
      <c r="D104" s="28"/>
    </row>
    <row r="105" spans="1:4" ht="12.75" customHeight="1" x14ac:dyDescent="0.35">
      <c r="A105" s="28"/>
      <c r="B105" s="28"/>
      <c r="C105" s="104" t="s">
        <v>90</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t="s">
        <v>77</v>
      </c>
      <c r="C110" s="28"/>
      <c r="D110" s="28"/>
    </row>
    <row r="111" spans="1:4" ht="12.75" customHeight="1" x14ac:dyDescent="0.35">
      <c r="A111" s="28"/>
      <c r="B111" s="28"/>
      <c r="C111" s="28" t="s">
        <v>80</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53" t="s">
        <v>77</v>
      </c>
      <c r="C114" s="28"/>
      <c r="D114" s="28"/>
    </row>
    <row r="115" spans="1:4" ht="12.75" customHeight="1" x14ac:dyDescent="0.35">
      <c r="A115" s="28"/>
      <c r="B115" s="28"/>
      <c r="C115" s="104" t="s">
        <v>90</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t="s">
        <v>77</v>
      </c>
      <c r="C120" s="28"/>
      <c r="D120" s="28"/>
    </row>
    <row r="121" spans="1:4" ht="12.75" customHeight="1" x14ac:dyDescent="0.35">
      <c r="A121" s="28"/>
      <c r="B121" s="28"/>
      <c r="C121" s="28" t="s">
        <v>80</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53" t="s">
        <v>77</v>
      </c>
      <c r="C124" s="28"/>
      <c r="D124" s="28"/>
    </row>
    <row r="125" spans="1:4" ht="12.75" customHeight="1" x14ac:dyDescent="0.35">
      <c r="A125" s="28"/>
      <c r="B125" s="28"/>
      <c r="C125" s="104" t="s">
        <v>90</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t="s">
        <v>77</v>
      </c>
      <c r="C130" s="28"/>
      <c r="D130" s="28"/>
    </row>
    <row r="131" spans="1:4" ht="12.75" customHeight="1" x14ac:dyDescent="0.35">
      <c r="A131" s="28"/>
      <c r="B131" s="28"/>
      <c r="C131" s="28" t="s">
        <v>80</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53" t="s">
        <v>77</v>
      </c>
      <c r="C134" s="28"/>
      <c r="D134" s="28"/>
    </row>
    <row r="135" spans="1:4" ht="12.75" customHeight="1" x14ac:dyDescent="0.35">
      <c r="A135" s="28"/>
      <c r="B135" s="28"/>
      <c r="C135" s="104" t="s">
        <v>90</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t="s">
        <v>77</v>
      </c>
      <c r="C140" s="28"/>
      <c r="D140" s="28"/>
    </row>
    <row r="141" spans="1:4" ht="12.75" customHeight="1" x14ac:dyDescent="0.35">
      <c r="A141" s="28"/>
      <c r="B141" s="28"/>
      <c r="C141" s="28" t="s">
        <v>80</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53" t="s">
        <v>77</v>
      </c>
      <c r="C144" s="28"/>
      <c r="D144" s="28"/>
    </row>
    <row r="145" spans="1:4" ht="12.75" customHeight="1" x14ac:dyDescent="0.35">
      <c r="A145" s="28"/>
      <c r="B145" s="28"/>
      <c r="C145" s="104" t="s">
        <v>90</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77</v>
      </c>
      <c r="C150" s="28"/>
      <c r="D150" s="28"/>
    </row>
    <row r="151" spans="1:4" ht="12.75" customHeight="1" x14ac:dyDescent="0.35">
      <c r="A151" s="28"/>
      <c r="B151" s="28"/>
      <c r="C151" s="28" t="s">
        <v>80</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53" t="s">
        <v>77</v>
      </c>
      <c r="C154" s="28"/>
      <c r="D154" s="28"/>
    </row>
    <row r="155" spans="1:4" ht="12.75" customHeight="1" x14ac:dyDescent="0.35">
      <c r="A155" s="28"/>
      <c r="B155" s="28"/>
      <c r="C155" s="104" t="s">
        <v>90</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77</v>
      </c>
      <c r="C160" s="28"/>
      <c r="D160" s="28"/>
    </row>
    <row r="161" spans="1:4" ht="12.75" customHeight="1" x14ac:dyDescent="0.35">
      <c r="A161" s="28"/>
      <c r="B161" s="28"/>
      <c r="C161" s="28" t="s">
        <v>80</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53" t="s">
        <v>77</v>
      </c>
      <c r="C164" s="28"/>
      <c r="D164" s="28"/>
    </row>
    <row r="165" spans="1:4" ht="12.75" customHeight="1" x14ac:dyDescent="0.35">
      <c r="A165" s="28"/>
      <c r="B165" s="28"/>
      <c r="C165" s="104" t="s">
        <v>90</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77</v>
      </c>
      <c r="C170" s="28"/>
      <c r="D170" s="28"/>
    </row>
    <row r="171" spans="1:4" ht="12.75" customHeight="1" x14ac:dyDescent="0.35">
      <c r="A171" s="28"/>
      <c r="B171" s="28"/>
      <c r="C171" s="28" t="s">
        <v>80</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53" t="s">
        <v>77</v>
      </c>
      <c r="C174" s="28"/>
      <c r="D174" s="28"/>
    </row>
    <row r="175" spans="1:4" ht="12.75" customHeight="1" x14ac:dyDescent="0.35">
      <c r="A175" s="28"/>
      <c r="B175" s="28"/>
      <c r="C175" s="104" t="s">
        <v>90</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77</v>
      </c>
      <c r="C180" s="28"/>
      <c r="D180" s="28"/>
    </row>
    <row r="181" spans="1:4" ht="12.75" customHeight="1" x14ac:dyDescent="0.35">
      <c r="A181" s="28"/>
      <c r="B181" s="28"/>
      <c r="C181" s="28" t="s">
        <v>80</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53" t="s">
        <v>77</v>
      </c>
      <c r="C184" s="28"/>
      <c r="D184" s="28"/>
    </row>
    <row r="185" spans="1:4" ht="12.75" customHeight="1" x14ac:dyDescent="0.35">
      <c r="A185" s="28"/>
      <c r="B185" s="28"/>
      <c r="C185" s="104" t="s">
        <v>90</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77</v>
      </c>
      <c r="C190" s="28"/>
      <c r="D190" s="28"/>
    </row>
    <row r="191" spans="1:4" ht="12.75" customHeight="1" x14ac:dyDescent="0.35">
      <c r="A191" s="28"/>
      <c r="B191" s="28"/>
      <c r="C191" s="28" t="s">
        <v>80</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53" t="s">
        <v>77</v>
      </c>
      <c r="C194" s="28"/>
      <c r="D194" s="28"/>
    </row>
    <row r="195" spans="1:4" ht="12.75" customHeight="1" x14ac:dyDescent="0.35">
      <c r="A195" s="28"/>
      <c r="B195" s="28"/>
      <c r="C195" s="104" t="s">
        <v>90</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77</v>
      </c>
      <c r="C200" s="28"/>
      <c r="D200" s="28"/>
    </row>
    <row r="201" spans="1:4" ht="12.75" customHeight="1" x14ac:dyDescent="0.35">
      <c r="A201" s="28"/>
      <c r="B201" s="28"/>
      <c r="C201" s="28" t="s">
        <v>80</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53" t="s">
        <v>77</v>
      </c>
      <c r="C204" s="28"/>
      <c r="D204" s="28"/>
    </row>
    <row r="205" spans="1:4" ht="12.75" customHeight="1" x14ac:dyDescent="0.35">
      <c r="A205" s="28"/>
      <c r="B205" s="28"/>
      <c r="C205" s="104" t="s">
        <v>90</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77</v>
      </c>
      <c r="C210" s="28"/>
      <c r="D210" s="28"/>
    </row>
    <row r="211" spans="1:4" ht="12.75" customHeight="1" x14ac:dyDescent="0.35">
      <c r="A211" s="28"/>
      <c r="B211" s="28"/>
      <c r="C211" s="28" t="s">
        <v>80</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53" t="s">
        <v>77</v>
      </c>
      <c r="C214" s="28"/>
      <c r="D214" s="28"/>
    </row>
    <row r="215" spans="1:4" ht="12.75" customHeight="1" x14ac:dyDescent="0.35">
      <c r="A215" s="28"/>
      <c r="B215" s="28"/>
      <c r="C215" s="104" t="s">
        <v>90</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77</v>
      </c>
      <c r="C220" s="28"/>
      <c r="D220" s="28"/>
    </row>
    <row r="221" spans="1:4" ht="12.75" customHeight="1" x14ac:dyDescent="0.35">
      <c r="A221" s="28"/>
      <c r="B221" s="28"/>
      <c r="C221" s="28" t="s">
        <v>80</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53" t="s">
        <v>77</v>
      </c>
      <c r="C224" s="28"/>
      <c r="D224" s="28"/>
    </row>
    <row r="225" spans="1:4" ht="12.75" customHeight="1" x14ac:dyDescent="0.35">
      <c r="A225" s="28"/>
      <c r="B225" s="28"/>
      <c r="C225" s="104" t="s">
        <v>90</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77</v>
      </c>
      <c r="C230" s="28"/>
      <c r="D230" s="28"/>
    </row>
    <row r="231" spans="1:4" ht="12.75" customHeight="1" x14ac:dyDescent="0.35">
      <c r="A231" s="28"/>
      <c r="B231" s="28"/>
      <c r="C231" s="28" t="s">
        <v>80</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53" t="s">
        <v>77</v>
      </c>
      <c r="C234" s="28"/>
      <c r="D234" s="28"/>
    </row>
    <row r="235" spans="1:4" ht="12.75" customHeight="1" x14ac:dyDescent="0.35">
      <c r="A235" s="28"/>
      <c r="B235" s="28"/>
      <c r="C235" s="104" t="s">
        <v>90</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77</v>
      </c>
      <c r="C240" s="28"/>
      <c r="D240" s="28"/>
    </row>
    <row r="241" spans="1:4" ht="12.75" customHeight="1" x14ac:dyDescent="0.35">
      <c r="A241" s="28"/>
      <c r="B241" s="28"/>
      <c r="C241" s="28" t="s">
        <v>80</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53" t="s">
        <v>77</v>
      </c>
      <c r="C244" s="28"/>
      <c r="D244" s="28"/>
    </row>
    <row r="245" spans="1:4" ht="12.75" customHeight="1" x14ac:dyDescent="0.35">
      <c r="A245" s="28"/>
      <c r="B245" s="28"/>
      <c r="C245" s="104" t="s">
        <v>90</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77</v>
      </c>
      <c r="C250" s="28"/>
      <c r="D250" s="28"/>
    </row>
    <row r="251" spans="1:4" ht="12.75" customHeight="1" x14ac:dyDescent="0.35">
      <c r="A251" s="28"/>
      <c r="B251" s="28"/>
      <c r="C251" s="28" t="s">
        <v>80</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53" t="s">
        <v>77</v>
      </c>
      <c r="C254" s="28"/>
      <c r="D254" s="28"/>
    </row>
    <row r="255" spans="1:4" ht="12.75" customHeight="1" x14ac:dyDescent="0.35">
      <c r="A255" s="28"/>
      <c r="B255" s="28"/>
      <c r="C255" s="104" t="s">
        <v>90</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77</v>
      </c>
      <c r="C260" s="28"/>
      <c r="D260" s="28"/>
    </row>
    <row r="261" spans="1:4" ht="12.75" customHeight="1" x14ac:dyDescent="0.35">
      <c r="A261" s="28"/>
      <c r="B261" s="28"/>
      <c r="C261" s="28" t="s">
        <v>80</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53" t="s">
        <v>77</v>
      </c>
      <c r="C264" s="28"/>
      <c r="D264" s="28"/>
    </row>
    <row r="265" spans="1:4" ht="12.75" customHeight="1" x14ac:dyDescent="0.35">
      <c r="A265" s="28"/>
      <c r="B265" s="28"/>
      <c r="C265" s="104" t="s">
        <v>90</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77</v>
      </c>
      <c r="C270" s="28"/>
      <c r="D270" s="28"/>
    </row>
    <row r="271" spans="1:4" ht="12.75" customHeight="1" x14ac:dyDescent="0.35">
      <c r="A271" s="28"/>
      <c r="B271" s="28"/>
      <c r="C271" s="28" t="s">
        <v>80</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53" t="s">
        <v>77</v>
      </c>
      <c r="C274" s="28"/>
      <c r="D274" s="28"/>
    </row>
    <row r="275" spans="1:4" ht="12.75" customHeight="1" x14ac:dyDescent="0.35">
      <c r="A275" s="28"/>
      <c r="B275" s="28"/>
      <c r="C275" s="104" t="s">
        <v>90</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77</v>
      </c>
      <c r="C280" s="28"/>
      <c r="D280" s="28"/>
    </row>
    <row r="281" spans="1:4" ht="12.75" customHeight="1" x14ac:dyDescent="0.35">
      <c r="A281" s="28"/>
      <c r="B281" s="28"/>
      <c r="C281" s="28" t="s">
        <v>80</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53" t="s">
        <v>77</v>
      </c>
      <c r="C284" s="28"/>
      <c r="D284" s="28"/>
    </row>
    <row r="285" spans="1:4" ht="12.75" customHeight="1" x14ac:dyDescent="0.35">
      <c r="A285" s="28"/>
      <c r="B285" s="28"/>
      <c r="C285" s="104" t="s">
        <v>90</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77</v>
      </c>
      <c r="C290" s="28"/>
      <c r="D290" s="28"/>
    </row>
    <row r="291" spans="1:4" ht="12.75" customHeight="1" x14ac:dyDescent="0.35">
      <c r="A291" s="28"/>
      <c r="B291" s="28"/>
      <c r="C291" s="28" t="s">
        <v>80</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53" t="s">
        <v>77</v>
      </c>
      <c r="C294" s="28"/>
      <c r="D294" s="28"/>
    </row>
    <row r="295" spans="1:4" ht="12.75" customHeight="1" x14ac:dyDescent="0.35">
      <c r="A295" s="28"/>
      <c r="B295" s="28"/>
      <c r="C295" s="104" t="s">
        <v>90</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77</v>
      </c>
      <c r="C300" s="28"/>
      <c r="D300" s="28"/>
    </row>
    <row r="301" spans="1:4" ht="12.75" customHeight="1" x14ac:dyDescent="0.35">
      <c r="A301" s="28"/>
      <c r="B301" s="28"/>
      <c r="C301" s="28" t="s">
        <v>80</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53" t="s">
        <v>77</v>
      </c>
      <c r="C304" s="28"/>
      <c r="D304" s="28"/>
    </row>
    <row r="305" spans="1:4" ht="12.75" customHeight="1" x14ac:dyDescent="0.35">
      <c r="A305" s="28"/>
      <c r="B305" s="28"/>
      <c r="C305" s="104" t="s">
        <v>90</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77</v>
      </c>
      <c r="C310" s="28"/>
      <c r="D310" s="28"/>
    </row>
    <row r="311" spans="1:4" ht="12.75" customHeight="1" x14ac:dyDescent="0.35">
      <c r="A311" s="28"/>
      <c r="B311" s="28"/>
      <c r="C311" s="28" t="s">
        <v>80</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53" t="s">
        <v>77</v>
      </c>
      <c r="C314" s="28"/>
      <c r="D314" s="28"/>
    </row>
    <row r="315" spans="1:4" ht="12.75" customHeight="1" x14ac:dyDescent="0.35">
      <c r="A315" s="28"/>
      <c r="B315" s="28"/>
      <c r="C315" s="104" t="s">
        <v>90</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642</v>
      </c>
      <c r="C318" s="28"/>
      <c r="D318" s="28"/>
    </row>
    <row r="319" spans="1:4" ht="12.75" customHeight="1" x14ac:dyDescent="0.35">
      <c r="A319" s="28"/>
      <c r="B319" s="28" t="s">
        <v>645</v>
      </c>
      <c r="C319" s="28"/>
      <c r="D319" s="28"/>
    </row>
    <row r="320" spans="1:4" ht="12.75" customHeight="1" x14ac:dyDescent="0.35">
      <c r="A320" s="28"/>
      <c r="B320" s="28" t="s">
        <v>647</v>
      </c>
      <c r="C320" s="28"/>
      <c r="D320" s="28"/>
    </row>
    <row r="321" spans="1:4" ht="12.75" customHeight="1" x14ac:dyDescent="0.35">
      <c r="A321" s="28"/>
      <c r="B321" s="28" t="s">
        <v>649</v>
      </c>
      <c r="C321" s="28"/>
      <c r="D321" s="28"/>
    </row>
    <row r="322" spans="1:4" ht="12.75" customHeight="1" x14ac:dyDescent="0.35">
      <c r="A322" s="28"/>
      <c r="B322" s="28" t="s">
        <v>80</v>
      </c>
      <c r="C322" s="28"/>
      <c r="D322" s="28"/>
    </row>
    <row r="323" spans="1:4" ht="12.75" customHeight="1" x14ac:dyDescent="0.35">
      <c r="A323" s="28"/>
      <c r="B323" s="28" t="s">
        <v>652</v>
      </c>
      <c r="C323" s="28"/>
      <c r="D323" s="28"/>
    </row>
    <row r="324" spans="1:4" ht="12.75" customHeight="1" x14ac:dyDescent="0.35">
      <c r="A324" s="28"/>
      <c r="B324" s="28" t="s">
        <v>645</v>
      </c>
      <c r="C324" s="28"/>
      <c r="D324" s="28"/>
    </row>
    <row r="325" spans="1:4" ht="12.75" customHeight="1" x14ac:dyDescent="0.35">
      <c r="A325" s="28"/>
      <c r="B325" s="28" t="s">
        <v>67</v>
      </c>
      <c r="C325" s="28"/>
      <c r="D325" s="28"/>
    </row>
    <row r="326" spans="1:4" ht="12.75" customHeight="1" x14ac:dyDescent="0.35">
      <c r="A326" s="28"/>
      <c r="B326" s="28" t="s">
        <v>649</v>
      </c>
      <c r="C326" s="28"/>
      <c r="D326" s="28"/>
    </row>
    <row r="327" spans="1:4" ht="12.75" customHeight="1" x14ac:dyDescent="0.35">
      <c r="A327" s="28"/>
      <c r="B327" s="1287" t="s">
        <v>90</v>
      </c>
      <c r="C327" s="28"/>
      <c r="D327" s="28"/>
    </row>
    <row r="328" spans="1:4" ht="12.75" customHeight="1" x14ac:dyDescent="0.35">
      <c r="A328" s="28"/>
      <c r="B328" s="28"/>
      <c r="C328" s="28"/>
      <c r="D328" s="28"/>
    </row>
    <row r="329" spans="1:4" ht="12.75" customHeight="1" x14ac:dyDescent="0.35">
      <c r="A329" s="28"/>
      <c r="B329" s="28" t="s">
        <v>659</v>
      </c>
      <c r="C329" s="28"/>
      <c r="D329" s="28"/>
    </row>
    <row r="330" spans="1:4" ht="12.75" customHeight="1" x14ac:dyDescent="0.35">
      <c r="A330" s="28"/>
      <c r="B330" s="28" t="s">
        <v>661</v>
      </c>
      <c r="C330" s="28"/>
      <c r="D330" s="28"/>
    </row>
    <row r="331" spans="1:4" ht="12.75" customHeight="1" x14ac:dyDescent="0.35">
      <c r="A331" s="28"/>
      <c r="B331" s="28" t="s">
        <v>664</v>
      </c>
      <c r="C331" s="28"/>
      <c r="D331" s="28"/>
    </row>
    <row r="332" spans="1:4" ht="12.75" customHeight="1" x14ac:dyDescent="0.35">
      <c r="A332" s="28"/>
      <c r="B332" s="28" t="s">
        <v>666</v>
      </c>
      <c r="C332" s="28"/>
      <c r="D332" s="28"/>
    </row>
    <row r="333" spans="1:4" ht="12.75" customHeight="1" x14ac:dyDescent="0.35">
      <c r="A333" s="28"/>
      <c r="B333" s="28" t="s">
        <v>668</v>
      </c>
      <c r="C333" s="28"/>
      <c r="D333" s="28"/>
    </row>
    <row r="334" spans="1:4" ht="12.75" customHeight="1" x14ac:dyDescent="0.35">
      <c r="A334" s="28"/>
      <c r="B334" s="28"/>
      <c r="C334" s="28"/>
      <c r="D334" s="28"/>
    </row>
    <row r="335" spans="1:4" ht="12.75" customHeight="1" x14ac:dyDescent="0.35">
      <c r="A335" s="28"/>
      <c r="B335" s="28" t="s">
        <v>670</v>
      </c>
      <c r="C335" s="28"/>
      <c r="D335" s="28" t="s">
        <v>671</v>
      </c>
    </row>
    <row r="336" spans="1:4" ht="12.75" customHeight="1" x14ac:dyDescent="0.35">
      <c r="A336" s="28"/>
      <c r="B336" s="28" t="s">
        <v>673</v>
      </c>
      <c r="C336" s="28"/>
      <c r="D336" s="28"/>
    </row>
    <row r="337" spans="1:4" ht="12.75" customHeight="1" x14ac:dyDescent="0.35">
      <c r="A337" s="28"/>
      <c r="B337" s="28" t="s">
        <v>675</v>
      </c>
      <c r="C337" s="28"/>
      <c r="D337" s="28"/>
    </row>
    <row r="338" spans="1:4" ht="12.75" customHeight="1" x14ac:dyDescent="0.35">
      <c r="A338" s="28"/>
      <c r="B338" s="28" t="s">
        <v>677</v>
      </c>
      <c r="C338" s="28"/>
      <c r="D338" s="28"/>
    </row>
    <row r="339" spans="1:4" ht="12.75" customHeight="1" x14ac:dyDescent="0.35">
      <c r="A339" s="28"/>
      <c r="B339" s="28" t="s">
        <v>680</v>
      </c>
      <c r="C339" s="28"/>
      <c r="D339" s="28"/>
    </row>
    <row r="340" spans="1:4" ht="12.75" customHeight="1" x14ac:dyDescent="0.35">
      <c r="A340" s="28"/>
      <c r="B340" s="28" t="s">
        <v>682</v>
      </c>
      <c r="C340" s="28"/>
      <c r="D340" s="28"/>
    </row>
    <row r="341" spans="1:4" ht="12.75" customHeight="1" x14ac:dyDescent="0.35">
      <c r="A341" s="28"/>
      <c r="B341" s="28" t="s">
        <v>684</v>
      </c>
      <c r="C341" s="28"/>
      <c r="D341" s="28"/>
    </row>
    <row r="342" spans="1:4" ht="12.75" customHeight="1" x14ac:dyDescent="0.35">
      <c r="A342" s="28"/>
      <c r="B342" s="28" t="s">
        <v>686</v>
      </c>
      <c r="C342" s="28"/>
      <c r="D342" s="28"/>
    </row>
    <row r="343" spans="1:4" ht="12.75" customHeight="1" x14ac:dyDescent="0.35">
      <c r="A343" s="28"/>
      <c r="B343" s="28" t="s">
        <v>688</v>
      </c>
      <c r="C343" s="28"/>
      <c r="D343" s="28"/>
    </row>
    <row r="344" spans="1:4" ht="12.75" customHeight="1" x14ac:dyDescent="0.35">
      <c r="A344" s="28"/>
      <c r="B344" s="28" t="s">
        <v>690</v>
      </c>
      <c r="C344" s="28"/>
      <c r="D344" s="28"/>
    </row>
    <row r="345" spans="1:4" ht="12.75" customHeight="1" x14ac:dyDescent="0.35">
      <c r="A345" s="28"/>
      <c r="B345" s="28" t="s">
        <v>692</v>
      </c>
      <c r="C345" s="28"/>
      <c r="D345" s="28"/>
    </row>
    <row r="346" spans="1:4" ht="12.75" customHeight="1" x14ac:dyDescent="0.35">
      <c r="A346" s="28"/>
      <c r="B346" s="28" t="s">
        <v>694</v>
      </c>
      <c r="C346" s="28"/>
      <c r="D346" s="28"/>
    </row>
    <row r="347" spans="1:4" ht="12.75" customHeight="1" x14ac:dyDescent="0.35">
      <c r="A347" s="28"/>
      <c r="B347" s="28"/>
      <c r="C347" s="28" t="s">
        <v>697</v>
      </c>
      <c r="D347" s="28"/>
    </row>
    <row r="348" spans="1:4" ht="12.75" customHeight="1" x14ac:dyDescent="0.35">
      <c r="A348" s="28"/>
      <c r="B348" s="28"/>
      <c r="C348" s="28"/>
      <c r="D348" s="28"/>
    </row>
    <row r="349" spans="1:4" ht="12.75" customHeight="1" x14ac:dyDescent="0.35">
      <c r="A349" s="28"/>
      <c r="B349" s="28"/>
      <c r="C349" s="28" t="s">
        <v>701</v>
      </c>
      <c r="D349" s="28"/>
    </row>
    <row r="350" spans="1:4" ht="12.75" customHeight="1" x14ac:dyDescent="0.35">
      <c r="A350" s="28"/>
      <c r="B350" s="28"/>
      <c r="C350" s="28" t="s">
        <v>647</v>
      </c>
      <c r="D350" s="28"/>
    </row>
    <row r="351" spans="1:4" ht="12.75" customHeight="1" x14ac:dyDescent="0.35">
      <c r="A351" s="28"/>
      <c r="B351" s="28"/>
      <c r="C351" s="28" t="s">
        <v>704</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741</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779</v>
      </c>
      <c r="D422" s="28"/>
    </row>
    <row r="423" spans="1:4" ht="12.75" customHeight="1" x14ac:dyDescent="0.35">
      <c r="A423" s="28"/>
      <c r="B423" s="28" t="s">
        <v>781</v>
      </c>
      <c r="C423" s="28"/>
      <c r="D423" s="28"/>
    </row>
    <row r="424" spans="1:4" ht="12.75" customHeight="1" x14ac:dyDescent="0.35">
      <c r="A424" s="28"/>
      <c r="B424" s="28" t="s">
        <v>783</v>
      </c>
      <c r="C424" s="28"/>
      <c r="D424" s="28"/>
    </row>
    <row r="425" spans="1:4" ht="12.75" customHeight="1" x14ac:dyDescent="0.35">
      <c r="A425" s="28"/>
      <c r="B425" s="28" t="s">
        <v>647</v>
      </c>
      <c r="C425" s="28"/>
      <c r="D425" s="28"/>
    </row>
    <row r="426" spans="1:4" ht="12.75" customHeight="1" x14ac:dyDescent="0.35">
      <c r="A426" s="28"/>
      <c r="B426" s="28" t="s">
        <v>2821</v>
      </c>
      <c r="C426" s="28"/>
      <c r="D426" s="28"/>
    </row>
    <row r="427" spans="1:4" ht="12.75" customHeight="1" x14ac:dyDescent="0.35">
      <c r="A427" s="28"/>
      <c r="B427" s="28" t="s">
        <v>788</v>
      </c>
      <c r="C427" s="28"/>
      <c r="D427" s="28"/>
    </row>
    <row r="428" spans="1:4" ht="12.75" customHeight="1" x14ac:dyDescent="0.35">
      <c r="A428" s="28"/>
      <c r="B428" s="28" t="s">
        <v>790</v>
      </c>
      <c r="C428" s="28"/>
      <c r="D428" s="28"/>
    </row>
    <row r="429" spans="1:4" ht="12.75" customHeight="1" x14ac:dyDescent="0.35">
      <c r="A429" s="28"/>
      <c r="B429" s="28" t="s">
        <v>792</v>
      </c>
      <c r="C429" s="28"/>
      <c r="D429" s="28"/>
    </row>
    <row r="430" spans="1:4" ht="12.75" customHeight="1" x14ac:dyDescent="0.35">
      <c r="A430" s="28"/>
      <c r="B430" s="28" t="s">
        <v>794</v>
      </c>
      <c r="C430" s="28"/>
      <c r="D430" s="28"/>
    </row>
    <row r="431" spans="1:4" ht="12.75" customHeight="1" x14ac:dyDescent="0.35">
      <c r="A431" s="28"/>
      <c r="B431" s="28" t="s">
        <v>796</v>
      </c>
      <c r="C431" s="28"/>
      <c r="D431" s="28"/>
    </row>
    <row r="432" spans="1:4" ht="12.75" customHeight="1" x14ac:dyDescent="0.35">
      <c r="A432" s="28"/>
      <c r="B432" s="28" t="s">
        <v>798</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806</v>
      </c>
      <c r="C439" s="28"/>
      <c r="D439" s="28"/>
    </row>
    <row r="440" spans="1:4" ht="12.75" customHeight="1" x14ac:dyDescent="0.35">
      <c r="A440" s="28"/>
      <c r="B440" s="28"/>
      <c r="C440" s="28"/>
      <c r="D440" s="28"/>
    </row>
    <row r="441" spans="1:4" ht="12.75" customHeight="1" x14ac:dyDescent="0.35">
      <c r="A441" s="28"/>
      <c r="B441" s="28" t="s">
        <v>59</v>
      </c>
      <c r="C441" s="28"/>
      <c r="D441" s="28"/>
    </row>
    <row r="442" spans="1:4" ht="12.75" customHeight="1" x14ac:dyDescent="0.35">
      <c r="A442" s="28"/>
      <c r="B442" s="28" t="s">
        <v>810</v>
      </c>
      <c r="C442" s="28"/>
      <c r="D442" s="28"/>
    </row>
    <row r="443" spans="1:4" ht="12.75" customHeight="1" x14ac:dyDescent="0.35">
      <c r="A443" s="28"/>
      <c r="B443" s="28"/>
      <c r="C443" s="1377" t="s">
        <v>1950</v>
      </c>
      <c r="D443" s="28"/>
    </row>
    <row r="444" spans="1:4" ht="12.75" customHeight="1" x14ac:dyDescent="0.35">
      <c r="A444" s="28"/>
      <c r="B444" s="28"/>
      <c r="C444" s="1377" t="s">
        <v>6242</v>
      </c>
      <c r="D444" s="28"/>
    </row>
    <row r="445" spans="1:4" ht="12.75" customHeight="1" x14ac:dyDescent="0.35">
      <c r="A445" s="28"/>
      <c r="B445" s="28"/>
      <c r="C445" s="1377" t="s">
        <v>6243</v>
      </c>
      <c r="D445" s="28"/>
    </row>
    <row r="446" spans="1:4" ht="12.75" customHeight="1" x14ac:dyDescent="0.35">
      <c r="A446" s="28"/>
      <c r="B446" s="28"/>
      <c r="C446" s="1377" t="s">
        <v>6244</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817</v>
      </c>
      <c r="C456" s="28"/>
      <c r="D456" s="28"/>
    </row>
    <row r="457" spans="1:4" ht="12.75" customHeight="1" x14ac:dyDescent="0.35">
      <c r="A457" s="28"/>
      <c r="B457" s="28" t="s">
        <v>5544</v>
      </c>
      <c r="C457" s="28"/>
      <c r="D457" s="28"/>
    </row>
    <row r="458" spans="1:4" ht="12.75" customHeight="1" x14ac:dyDescent="0.35">
      <c r="A458" s="28"/>
      <c r="B458" s="1287" t="str">
        <f>IF(PrintMode=0,"      ","")&amp;"Other operating income"</f>
        <v xml:space="preserve">      Other operating income</v>
      </c>
      <c r="C458" s="28"/>
      <c r="D458" s="28"/>
    </row>
    <row r="459" spans="1:4" ht="12.75" customHeight="1" x14ac:dyDescent="0.35">
      <c r="A459" s="28"/>
      <c r="B459" s="28" t="s">
        <v>821</v>
      </c>
      <c r="C459" s="28"/>
      <c r="D459" s="28"/>
    </row>
    <row r="460" spans="1:4" ht="12.75" customHeight="1" x14ac:dyDescent="0.35">
      <c r="A460" s="28"/>
      <c r="B460" s="28"/>
      <c r="C460" s="28" t="s">
        <v>823</v>
      </c>
      <c r="D460" s="28"/>
    </row>
    <row r="461" spans="1:4" ht="12.75" customHeight="1" x14ac:dyDescent="0.35">
      <c r="A461" s="28"/>
      <c r="B461" s="28"/>
      <c r="C461" s="1377" t="s">
        <v>829</v>
      </c>
      <c r="D461" s="28"/>
    </row>
    <row r="462" spans="1:4" ht="12.75" customHeight="1" x14ac:dyDescent="0.35">
      <c r="A462" s="28"/>
      <c r="B462" s="28"/>
      <c r="C462" s="1377" t="s">
        <v>6245</v>
      </c>
      <c r="D462" s="28"/>
    </row>
    <row r="463" spans="1:4" ht="12.75" customHeight="1" x14ac:dyDescent="0.35">
      <c r="A463" s="28"/>
      <c r="B463" s="28"/>
      <c r="C463" s="28" t="s">
        <v>825</v>
      </c>
      <c r="D463" s="28"/>
    </row>
    <row r="464" spans="1:4" ht="12.75" customHeight="1" x14ac:dyDescent="0.35">
      <c r="A464" s="28"/>
      <c r="B464" s="28"/>
      <c r="C464" s="28" t="s">
        <v>827</v>
      </c>
      <c r="D464" s="28"/>
    </row>
    <row r="465" spans="1:4" ht="12.75" customHeight="1" x14ac:dyDescent="0.35">
      <c r="A465" s="28"/>
      <c r="B465" s="28"/>
      <c r="C465" s="28" t="s">
        <v>829</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833</v>
      </c>
      <c r="C472" s="28"/>
      <c r="D472" s="28"/>
    </row>
    <row r="473" spans="1:4" ht="12.75" customHeight="1" x14ac:dyDescent="0.35">
      <c r="A473" s="28"/>
      <c r="B473" s="28" t="s">
        <v>5544</v>
      </c>
      <c r="C473" s="28"/>
      <c r="D473" s="28"/>
    </row>
    <row r="474" spans="1:4" ht="12.75" customHeight="1" x14ac:dyDescent="0.35">
      <c r="A474" s="28"/>
      <c r="B474" s="28" t="s">
        <v>5542</v>
      </c>
      <c r="C474" s="28"/>
      <c r="D474" s="28"/>
    </row>
    <row r="475" spans="1:4" ht="12.75" customHeight="1" x14ac:dyDescent="0.35">
      <c r="A475" s="28"/>
      <c r="B475" s="28" t="s">
        <v>837</v>
      </c>
      <c r="C475" s="28"/>
      <c r="D475" s="28"/>
    </row>
    <row r="476" spans="1:4" ht="12.75" customHeight="1" x14ac:dyDescent="0.35">
      <c r="A476" s="28"/>
      <c r="B476" s="28"/>
      <c r="C476" s="28" t="s">
        <v>827</v>
      </c>
      <c r="D476" s="28"/>
    </row>
    <row r="477" spans="1:4" ht="12.75" customHeight="1" x14ac:dyDescent="0.35">
      <c r="A477" s="28"/>
      <c r="B477" s="28"/>
      <c r="C477" s="28" t="s">
        <v>840</v>
      </c>
      <c r="D477" s="28"/>
    </row>
    <row r="478" spans="1:4" ht="12.75" customHeight="1" x14ac:dyDescent="0.35">
      <c r="A478" s="28"/>
      <c r="B478" s="28"/>
      <c r="C478" s="28" t="s">
        <v>842</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C485" s="28"/>
      <c r="D485" s="28"/>
    </row>
    <row r="486" spans="1:4" ht="12.75" customHeight="1" x14ac:dyDescent="0.35">
      <c r="A486" s="28"/>
      <c r="B486" s="105" t="s">
        <v>847</v>
      </c>
      <c r="C486" s="28"/>
      <c r="D486" s="28"/>
    </row>
    <row r="487" spans="1:4" ht="12.75" customHeight="1" x14ac:dyDescent="0.35">
      <c r="A487" s="28"/>
      <c r="B487" s="1250" t="s">
        <v>5607</v>
      </c>
      <c r="C487" s="28"/>
      <c r="D487" s="28"/>
    </row>
    <row r="488" spans="1:4" ht="12.75" customHeight="1" x14ac:dyDescent="0.35">
      <c r="A488" s="28"/>
      <c r="B488" s="28" t="s">
        <v>849</v>
      </c>
      <c r="C488" s="28"/>
      <c r="D488" s="28"/>
    </row>
    <row r="489" spans="1:4" ht="12.75" customHeight="1" x14ac:dyDescent="0.35">
      <c r="A489" s="28"/>
      <c r="B489" s="28" t="s">
        <v>5544</v>
      </c>
      <c r="C489" s="28"/>
      <c r="D489" s="28"/>
    </row>
    <row r="490" spans="1:4" ht="12.75" customHeight="1" x14ac:dyDescent="0.35">
      <c r="A490" s="28"/>
      <c r="B490" s="28" t="s">
        <v>5339</v>
      </c>
      <c r="C490" s="28"/>
      <c r="D490" s="28"/>
    </row>
    <row r="491" spans="1:4" ht="12.75" customHeight="1" x14ac:dyDescent="0.35">
      <c r="A491" s="28"/>
      <c r="B491" s="28" t="s">
        <v>647</v>
      </c>
      <c r="C491" s="28"/>
      <c r="D491" s="28"/>
    </row>
    <row r="492" spans="1:4" ht="12.75" customHeight="1" x14ac:dyDescent="0.35">
      <c r="A492" s="28"/>
      <c r="B492" s="28"/>
      <c r="C492" s="28" t="s">
        <v>854</v>
      </c>
      <c r="D492" s="28"/>
    </row>
    <row r="493" spans="1:4" ht="12.75" customHeight="1" x14ac:dyDescent="0.35">
      <c r="A493" s="28"/>
      <c r="B493" s="28"/>
      <c r="C493" s="28" t="s">
        <v>856</v>
      </c>
      <c r="D493" s="28"/>
    </row>
    <row r="494" spans="1:4" ht="12.75" customHeight="1" x14ac:dyDescent="0.35">
      <c r="A494" s="28"/>
      <c r="B494" s="28" t="s">
        <v>858</v>
      </c>
      <c r="C494" s="28"/>
      <c r="D494" s="28"/>
    </row>
    <row r="495" spans="1:4" ht="12.75" customHeight="1" x14ac:dyDescent="0.35">
      <c r="A495" s="28"/>
      <c r="B495" s="28" t="s">
        <v>5544</v>
      </c>
      <c r="C495" s="28"/>
      <c r="D495" s="28"/>
    </row>
    <row r="496" spans="1:4" ht="12.75" customHeight="1" x14ac:dyDescent="0.35">
      <c r="A496" s="28"/>
      <c r="B496" s="28" t="s">
        <v>5338</v>
      </c>
      <c r="C496" s="28"/>
      <c r="D496" s="28"/>
    </row>
    <row r="497" spans="1:4" ht="12.75" customHeight="1" x14ac:dyDescent="0.35">
      <c r="A497" s="28"/>
      <c r="B497" s="28" t="s">
        <v>862</v>
      </c>
      <c r="C497" s="28"/>
      <c r="D497" s="28"/>
    </row>
    <row r="498" spans="1:4" ht="12.75" customHeight="1" x14ac:dyDescent="0.35">
      <c r="A498" s="28"/>
      <c r="B498" s="28"/>
      <c r="C498" s="28" t="s">
        <v>862</v>
      </c>
      <c r="D498" s="28"/>
    </row>
    <row r="499" spans="1:4" ht="12.75" customHeight="1" x14ac:dyDescent="0.35">
      <c r="A499" s="28"/>
      <c r="B499" s="28"/>
      <c r="C499" s="28" t="s">
        <v>2822</v>
      </c>
      <c r="D499" s="28"/>
    </row>
    <row r="500" spans="1:4" ht="12.75" customHeight="1" x14ac:dyDescent="0.35">
      <c r="A500" s="28"/>
      <c r="B500" s="28" t="s">
        <v>867</v>
      </c>
      <c r="C500" s="28"/>
      <c r="D500" s="28"/>
    </row>
    <row r="501" spans="1:4" ht="12.75" customHeight="1" x14ac:dyDescent="0.35">
      <c r="A501" s="28"/>
      <c r="B501" s="28" t="s">
        <v>869</v>
      </c>
      <c r="C501" s="28"/>
      <c r="D501" s="28"/>
    </row>
    <row r="502" spans="1:4" ht="12.75" customHeight="1" x14ac:dyDescent="0.35">
      <c r="A502" s="28"/>
      <c r="B502" s="28"/>
      <c r="C502" s="28" t="s">
        <v>871</v>
      </c>
      <c r="D502" s="28"/>
    </row>
    <row r="503" spans="1:4" ht="12.75" customHeight="1" x14ac:dyDescent="0.35">
      <c r="A503" s="28"/>
      <c r="B503" s="28"/>
      <c r="C503" s="28" t="s">
        <v>873</v>
      </c>
      <c r="D503" s="28"/>
    </row>
    <row r="504" spans="1:4" ht="12.75" customHeight="1" x14ac:dyDescent="0.35">
      <c r="A504" s="28"/>
      <c r="B504" s="28" t="s">
        <v>875</v>
      </c>
      <c r="C504" s="28"/>
      <c r="D504" s="28"/>
    </row>
    <row r="505" spans="1:4" ht="12.75" customHeight="1" x14ac:dyDescent="0.35">
      <c r="A505" s="28"/>
      <c r="B505" s="105" t="s">
        <v>2823</v>
      </c>
      <c r="C505" s="28"/>
      <c r="D505" s="28"/>
    </row>
    <row r="506" spans="1:4" ht="12.75" customHeight="1" x14ac:dyDescent="0.35">
      <c r="A506" s="28"/>
      <c r="B506" s="28"/>
      <c r="C506" s="28" t="s">
        <v>2824</v>
      </c>
      <c r="D506" s="28"/>
    </row>
    <row r="507" spans="1:4" ht="12.75" customHeight="1" x14ac:dyDescent="0.35">
      <c r="A507" s="28"/>
      <c r="B507" s="28"/>
      <c r="C507" s="1287" t="str">
        <f>IF(CalculatedDepreciation,"Other a","A")&amp;"ppropriations, increase (-) / decrease (+)"</f>
        <v>Appropriations, increase (-) / decrease (+)</v>
      </c>
      <c r="D507" s="28"/>
    </row>
    <row r="508" spans="1:4" ht="12.75" customHeight="1" x14ac:dyDescent="0.35">
      <c r="A508" s="28"/>
      <c r="B508" s="28" t="s">
        <v>881</v>
      </c>
      <c r="C508" s="28"/>
      <c r="D508" s="28"/>
    </row>
    <row r="509" spans="1:4" ht="12.75" customHeight="1" x14ac:dyDescent="0.35">
      <c r="A509" s="28"/>
      <c r="B509" s="105" t="s">
        <v>883</v>
      </c>
      <c r="C509" s="28"/>
      <c r="D509" s="28"/>
    </row>
    <row r="510" spans="1:4" ht="12.75" customHeight="1" x14ac:dyDescent="0.35">
      <c r="A510" s="28"/>
      <c r="B510" s="28" t="s">
        <v>885</v>
      </c>
      <c r="C510" s="28"/>
      <c r="D510" s="28"/>
    </row>
    <row r="511" spans="1:4" ht="12.75" customHeight="1" x14ac:dyDescent="0.35">
      <c r="A511" s="28"/>
      <c r="B511" s="28" t="s">
        <v>887</v>
      </c>
      <c r="C511" s="28"/>
      <c r="D511" s="28"/>
    </row>
    <row r="512" spans="1:4" ht="12.75" customHeight="1" x14ac:dyDescent="0.35">
      <c r="A512" s="28"/>
      <c r="B512" s="28" t="s">
        <v>5544</v>
      </c>
      <c r="C512" s="28"/>
      <c r="D512" s="28"/>
    </row>
    <row r="513" spans="1:4" ht="12.75" customHeight="1" x14ac:dyDescent="0.35">
      <c r="A513" s="28"/>
      <c r="B513" s="28" t="s">
        <v>5543</v>
      </c>
      <c r="C513" s="28"/>
      <c r="D513" s="28"/>
    </row>
    <row r="514" spans="1:4" ht="12.75" customHeight="1" x14ac:dyDescent="0.35">
      <c r="A514" s="28"/>
      <c r="B514" s="28" t="s">
        <v>891</v>
      </c>
      <c r="C514" s="28"/>
      <c r="D514" s="28"/>
    </row>
    <row r="515" spans="1:4" ht="12.75" customHeight="1" x14ac:dyDescent="0.35">
      <c r="A515" s="28"/>
      <c r="B515" s="28" t="s">
        <v>893</v>
      </c>
      <c r="C515" s="28"/>
      <c r="D515" s="28"/>
    </row>
    <row r="516" spans="1:4" ht="12.75" customHeight="1" x14ac:dyDescent="0.35">
      <c r="A516" s="28"/>
      <c r="B516" s="28" t="s">
        <v>895</v>
      </c>
      <c r="C516" s="28"/>
      <c r="D516" s="28"/>
    </row>
    <row r="517" spans="1:4" ht="12.75" customHeight="1" x14ac:dyDescent="0.35">
      <c r="A517" s="28"/>
      <c r="B517" s="28" t="s">
        <v>897</v>
      </c>
      <c r="C517" s="28"/>
      <c r="D517" s="28"/>
    </row>
    <row r="518" spans="1:4" ht="12.75" customHeight="1" x14ac:dyDescent="0.35">
      <c r="A518" s="28"/>
      <c r="B518" s="28" t="s">
        <v>899</v>
      </c>
      <c r="C518" s="28"/>
      <c r="D518" s="28"/>
    </row>
    <row r="519" spans="1:4" ht="12.75" customHeight="1" x14ac:dyDescent="0.35">
      <c r="A519" s="28"/>
      <c r="B519" s="28" t="s">
        <v>901</v>
      </c>
      <c r="C519" s="28"/>
      <c r="D519" s="28"/>
    </row>
    <row r="520" spans="1:4" ht="12.75" customHeight="1" x14ac:dyDescent="0.35">
      <c r="A520" s="28"/>
      <c r="B520" s="28" t="s">
        <v>904</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908</v>
      </c>
      <c r="C523" s="28"/>
      <c r="D523" s="28"/>
    </row>
    <row r="524" spans="1:4" ht="12.75" customHeight="1" x14ac:dyDescent="0.35">
      <c r="A524" s="28"/>
      <c r="B524" s="28" t="s">
        <v>910</v>
      </c>
      <c r="C524" s="28"/>
      <c r="D524" s="28"/>
    </row>
    <row r="525" spans="1:4" ht="12.75" customHeight="1" x14ac:dyDescent="0.35">
      <c r="A525" s="28"/>
      <c r="B525" s="28" t="s">
        <v>647</v>
      </c>
      <c r="C525" s="28"/>
      <c r="D525" s="28"/>
    </row>
    <row r="526" spans="1:4" ht="12.75" customHeight="1" x14ac:dyDescent="0.35">
      <c r="A526" s="28"/>
      <c r="B526" s="28" t="s">
        <v>913</v>
      </c>
      <c r="C526" s="28"/>
      <c r="D526" s="28"/>
    </row>
    <row r="527" spans="1:4" ht="12.75" customHeight="1" x14ac:dyDescent="0.35">
      <c r="A527" s="28"/>
      <c r="B527" s="28" t="s">
        <v>915</v>
      </c>
      <c r="C527" s="28"/>
      <c r="D527" s="28"/>
    </row>
    <row r="528" spans="1:4" ht="12.75" customHeight="1" x14ac:dyDescent="0.35">
      <c r="A528" s="28"/>
      <c r="B528" s="28" t="s">
        <v>917</v>
      </c>
      <c r="C528" s="28"/>
      <c r="D528" s="28"/>
    </row>
    <row r="529" spans="1:4" ht="12.75" customHeight="1" x14ac:dyDescent="0.35">
      <c r="A529" s="28"/>
      <c r="B529" s="28" t="s">
        <v>885</v>
      </c>
      <c r="C529" s="28"/>
      <c r="D529" s="28"/>
    </row>
    <row r="530" spans="1:4" ht="12.75" customHeight="1" x14ac:dyDescent="0.35">
      <c r="A530" s="28"/>
      <c r="B530" s="28" t="s">
        <v>920</v>
      </c>
      <c r="C530" s="28"/>
      <c r="D530" s="28"/>
    </row>
    <row r="531" spans="1:4" ht="12.75" customHeight="1" x14ac:dyDescent="0.35">
      <c r="A531" s="28"/>
      <c r="B531" s="28" t="s">
        <v>922</v>
      </c>
      <c r="C531" s="28"/>
      <c r="D531" s="28"/>
    </row>
    <row r="532" spans="1:4" ht="12.75" customHeight="1" x14ac:dyDescent="0.35">
      <c r="A532" s="28"/>
      <c r="B532" s="28" t="s">
        <v>924</v>
      </c>
      <c r="C532" s="28"/>
      <c r="D532" s="28"/>
    </row>
    <row r="533" spans="1:4" ht="12.75" customHeight="1" x14ac:dyDescent="0.35">
      <c r="A533" s="28"/>
      <c r="B533" s="28" t="s">
        <v>926</v>
      </c>
      <c r="C533" s="28"/>
      <c r="D533" s="28"/>
    </row>
    <row r="534" spans="1:4" ht="12.75" customHeight="1" x14ac:dyDescent="0.35">
      <c r="A534" s="28"/>
      <c r="B534" s="28" t="s">
        <v>929</v>
      </c>
      <c r="C534" s="28"/>
      <c r="D534" s="28"/>
    </row>
    <row r="535" spans="1:4" ht="12.75" customHeight="1" x14ac:dyDescent="0.35">
      <c r="A535" s="28"/>
      <c r="B535" s="28" t="s">
        <v>931</v>
      </c>
      <c r="C535" s="28"/>
      <c r="D535" s="28"/>
    </row>
    <row r="536" spans="1:4" ht="12.75" customHeight="1" x14ac:dyDescent="0.35">
      <c r="A536" s="28"/>
      <c r="B536" s="28" t="s">
        <v>934</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941</v>
      </c>
      <c r="C542" s="28"/>
      <c r="D542" s="28"/>
    </row>
    <row r="543" spans="1:4" ht="12.75" customHeight="1" x14ac:dyDescent="0.35">
      <c r="A543" s="28"/>
      <c r="B543" s="28"/>
      <c r="C543" s="28"/>
      <c r="D543" s="28"/>
    </row>
    <row r="544" spans="1:4" ht="12.75" customHeight="1" x14ac:dyDescent="0.35">
      <c r="A544" s="28"/>
      <c r="B544" s="28" t="s">
        <v>59</v>
      </c>
      <c r="C544" s="28"/>
      <c r="D544" s="28"/>
    </row>
    <row r="545" spans="1:4" ht="12.75" customHeight="1" x14ac:dyDescent="0.35">
      <c r="A545" s="28"/>
      <c r="B545" s="28" t="s">
        <v>945</v>
      </c>
      <c r="C545" s="28"/>
      <c r="D545" s="28"/>
    </row>
    <row r="546" spans="1:4" ht="12.75" customHeight="1" x14ac:dyDescent="0.35">
      <c r="A546" s="28"/>
      <c r="B546" s="28"/>
      <c r="C546" s="194" t="s">
        <v>5395</v>
      </c>
      <c r="D546" s="28"/>
    </row>
    <row r="547" spans="1:4" ht="12.75" customHeight="1" x14ac:dyDescent="0.35">
      <c r="A547" s="28"/>
      <c r="B547" s="28"/>
      <c r="C547" s="194" t="s">
        <v>948</v>
      </c>
      <c r="D547" s="28"/>
    </row>
    <row r="548" spans="1:4" ht="12.75" customHeight="1" x14ac:dyDescent="0.35">
      <c r="A548" s="28"/>
      <c r="B548" s="28"/>
      <c r="C548" s="194" t="s">
        <v>5396</v>
      </c>
      <c r="D548" s="28"/>
    </row>
    <row r="549" spans="1:4" ht="12.75" customHeight="1" x14ac:dyDescent="0.35">
      <c r="A549" s="28"/>
      <c r="B549" s="28"/>
      <c r="C549" s="194" t="s">
        <v>5426</v>
      </c>
      <c r="D549" s="28"/>
    </row>
    <row r="550" spans="1:4" ht="12.75" customHeight="1" x14ac:dyDescent="0.35">
      <c r="A550" s="28"/>
      <c r="B550" s="28"/>
      <c r="C550" s="194" t="s">
        <v>5395</v>
      </c>
      <c r="D550" s="28"/>
    </row>
    <row r="551" spans="1:4" ht="12.75" customHeight="1" x14ac:dyDescent="0.35">
      <c r="A551" s="28"/>
      <c r="B551" s="28"/>
      <c r="C551" s="194" t="s">
        <v>5265</v>
      </c>
      <c r="D551" s="28"/>
    </row>
    <row r="552" spans="1:4" ht="12.75" customHeight="1" x14ac:dyDescent="0.35">
      <c r="A552" s="28"/>
      <c r="B552" s="28"/>
      <c r="C552" s="194" t="s">
        <v>5396</v>
      </c>
      <c r="D552" s="28"/>
    </row>
    <row r="553" spans="1:4" ht="12.75" customHeight="1" x14ac:dyDescent="0.35">
      <c r="A553" s="28"/>
      <c r="B553" s="28"/>
      <c r="C553" s="194" t="s">
        <v>5426</v>
      </c>
      <c r="D553" s="28"/>
    </row>
    <row r="554" spans="1:4" ht="12.75" customHeight="1" x14ac:dyDescent="0.35">
      <c r="A554" s="28"/>
      <c r="B554" s="28"/>
      <c r="C554" s="194" t="s">
        <v>5395</v>
      </c>
      <c r="D554" s="28"/>
    </row>
    <row r="555" spans="1:4" ht="12.75" customHeight="1" x14ac:dyDescent="0.35">
      <c r="A555" s="28"/>
      <c r="B555" s="28"/>
      <c r="C555" s="194" t="s">
        <v>5266</v>
      </c>
      <c r="D555" s="28"/>
    </row>
    <row r="556" spans="1:4" ht="12.75" customHeight="1" x14ac:dyDescent="0.35">
      <c r="A556" s="28"/>
      <c r="B556" s="28"/>
      <c r="C556" s="194" t="s">
        <v>5396</v>
      </c>
      <c r="D556" s="28"/>
    </row>
    <row r="557" spans="1:4" ht="12.75" customHeight="1" x14ac:dyDescent="0.35">
      <c r="A557" s="28"/>
      <c r="B557" s="28"/>
      <c r="C557" s="194" t="s">
        <v>5426</v>
      </c>
      <c r="D557" s="28"/>
    </row>
    <row r="558" spans="1:4" ht="12.75" customHeight="1" x14ac:dyDescent="0.35">
      <c r="A558" s="28"/>
      <c r="B558" s="28"/>
      <c r="C558" s="194" t="s">
        <v>5395</v>
      </c>
      <c r="D558" s="28"/>
    </row>
    <row r="559" spans="1:4" ht="12.75" customHeight="1" x14ac:dyDescent="0.35">
      <c r="A559" s="28"/>
      <c r="B559" s="28"/>
      <c r="C559" s="194" t="s">
        <v>5271</v>
      </c>
      <c r="D559" s="28"/>
    </row>
    <row r="560" spans="1:4" ht="12.75" customHeight="1" x14ac:dyDescent="0.35">
      <c r="A560" s="28"/>
      <c r="B560" s="28"/>
      <c r="C560" s="194" t="s">
        <v>5396</v>
      </c>
      <c r="D560" s="28"/>
    </row>
    <row r="561" spans="1:4" ht="12.75" customHeight="1" x14ac:dyDescent="0.35">
      <c r="A561" s="28"/>
      <c r="B561" s="28"/>
      <c r="C561" s="194" t="s">
        <v>5426</v>
      </c>
      <c r="D561" s="28"/>
    </row>
    <row r="562" spans="1:4" ht="12.75" customHeight="1" x14ac:dyDescent="0.35">
      <c r="A562" s="28"/>
      <c r="B562" s="28"/>
      <c r="C562" s="194" t="s">
        <v>5395</v>
      </c>
      <c r="D562" s="28"/>
    </row>
    <row r="563" spans="1:4" ht="12.75" customHeight="1" x14ac:dyDescent="0.35">
      <c r="A563" s="28"/>
      <c r="B563" s="28"/>
      <c r="C563" s="194" t="s">
        <v>5272</v>
      </c>
      <c r="D563" s="28"/>
    </row>
    <row r="564" spans="1:4" ht="12.75" customHeight="1" x14ac:dyDescent="0.35">
      <c r="A564" s="28"/>
      <c r="B564" s="28"/>
      <c r="C564" s="194" t="s">
        <v>5396</v>
      </c>
      <c r="D564" s="28"/>
    </row>
    <row r="565" spans="1:4" ht="12.75" customHeight="1" x14ac:dyDescent="0.35">
      <c r="A565" s="28"/>
      <c r="B565" s="28"/>
      <c r="C565" s="194" t="s">
        <v>5426</v>
      </c>
      <c r="D565" s="28"/>
    </row>
    <row r="566" spans="1:4" ht="12.75" customHeight="1" x14ac:dyDescent="0.35">
      <c r="A566" s="28"/>
      <c r="B566" s="28"/>
      <c r="C566" s="1250" t="s">
        <v>5612</v>
      </c>
      <c r="D566" s="28"/>
    </row>
    <row r="567" spans="1:4" ht="12.75" customHeight="1" x14ac:dyDescent="0.35">
      <c r="A567" s="28"/>
      <c r="B567" s="28"/>
      <c r="C567" s="1250" t="s">
        <v>5631</v>
      </c>
      <c r="D567" s="28"/>
    </row>
    <row r="568" spans="1:4" ht="12.75" customHeight="1" x14ac:dyDescent="0.35">
      <c r="A568" s="28"/>
      <c r="B568" s="28"/>
      <c r="C568" s="28" t="s">
        <v>952</v>
      </c>
      <c r="D568" s="28"/>
    </row>
    <row r="569" spans="1:4" ht="12.75" customHeight="1" x14ac:dyDescent="0.35">
      <c r="A569" s="28"/>
      <c r="B569" s="28"/>
      <c r="C569" s="28" t="s">
        <v>5466</v>
      </c>
      <c r="D569" s="28"/>
    </row>
    <row r="570" spans="1:4" ht="12.75" customHeight="1" x14ac:dyDescent="0.35">
      <c r="A570" s="28"/>
      <c r="B570" s="28"/>
      <c r="C570" s="1250" t="s">
        <v>5621</v>
      </c>
      <c r="D570" s="28"/>
    </row>
    <row r="571" spans="1:4" ht="12.75" customHeight="1" x14ac:dyDescent="0.35">
      <c r="A571" s="28"/>
      <c r="B571" s="28"/>
      <c r="C571" s="1250" t="s">
        <v>5630</v>
      </c>
      <c r="D571" s="28"/>
    </row>
    <row r="572" spans="1:4" ht="12.75" customHeight="1" x14ac:dyDescent="0.35">
      <c r="A572" s="28"/>
      <c r="B572" s="28"/>
      <c r="C572" s="28" t="s">
        <v>955</v>
      </c>
      <c r="D572" s="28"/>
    </row>
    <row r="573" spans="1:4" ht="12.75" customHeight="1" x14ac:dyDescent="0.35">
      <c r="A573" s="28"/>
      <c r="B573" s="28"/>
      <c r="C573" s="28" t="s">
        <v>957</v>
      </c>
      <c r="D573" s="28"/>
    </row>
    <row r="574" spans="1:4" ht="12.75" customHeight="1" x14ac:dyDescent="0.35">
      <c r="A574" s="28"/>
      <c r="B574" s="28"/>
      <c r="C574" s="28" t="s">
        <v>959</v>
      </c>
      <c r="D574" s="28"/>
    </row>
    <row r="575" spans="1:4" ht="12.75" customHeight="1" x14ac:dyDescent="0.35">
      <c r="A575" s="28"/>
      <c r="B575" s="28" t="s">
        <v>961</v>
      </c>
      <c r="C575" s="28"/>
      <c r="D575" s="28"/>
    </row>
    <row r="576" spans="1:4" ht="12.75" customHeight="1" x14ac:dyDescent="0.35">
      <c r="A576" s="28"/>
      <c r="B576" s="28"/>
      <c r="C576" s="194" t="s">
        <v>5397</v>
      </c>
      <c r="D576" s="28"/>
    </row>
    <row r="577" spans="1:4" ht="12.75" customHeight="1" x14ac:dyDescent="0.35">
      <c r="A577" s="28"/>
      <c r="B577" s="28"/>
      <c r="C577" s="194" t="s">
        <v>961</v>
      </c>
      <c r="D577" s="28"/>
    </row>
    <row r="578" spans="1:4" ht="12.75" customHeight="1" x14ac:dyDescent="0.35">
      <c r="A578" s="28"/>
      <c r="B578" s="28"/>
      <c r="C578" s="194" t="s">
        <v>5396</v>
      </c>
      <c r="D578" s="28"/>
    </row>
    <row r="579" spans="1:4" ht="12.75" customHeight="1" x14ac:dyDescent="0.35">
      <c r="A579" s="28"/>
      <c r="C579" s="194" t="s">
        <v>5426</v>
      </c>
      <c r="D579" s="28"/>
    </row>
    <row r="580" spans="1:4" ht="12.75" customHeight="1" x14ac:dyDescent="0.35">
      <c r="A580" s="28"/>
      <c r="B580" s="28"/>
      <c r="C580" s="194" t="s">
        <v>5397</v>
      </c>
      <c r="D580" s="28"/>
    </row>
    <row r="581" spans="1:4" ht="12.75" customHeight="1" x14ac:dyDescent="0.35">
      <c r="A581" s="28"/>
      <c r="B581" s="28"/>
      <c r="C581" s="194" t="s">
        <v>5267</v>
      </c>
      <c r="D581" s="28"/>
    </row>
    <row r="582" spans="1:4" ht="12.75" customHeight="1" x14ac:dyDescent="0.35">
      <c r="A582" s="28"/>
      <c r="B582" s="28"/>
      <c r="C582" s="194" t="s">
        <v>5396</v>
      </c>
      <c r="D582" s="28"/>
    </row>
    <row r="583" spans="1:4" ht="12.75" customHeight="1" x14ac:dyDescent="0.35">
      <c r="A583" s="28"/>
      <c r="C583" s="194" t="s">
        <v>5426</v>
      </c>
      <c r="D583" s="28"/>
    </row>
    <row r="584" spans="1:4" ht="12.75" customHeight="1" x14ac:dyDescent="0.35">
      <c r="A584" s="28"/>
      <c r="B584" s="28"/>
      <c r="C584" s="194" t="s">
        <v>5397</v>
      </c>
      <c r="D584" s="28"/>
    </row>
    <row r="585" spans="1:4" ht="12.75" customHeight="1" x14ac:dyDescent="0.35">
      <c r="A585" s="28"/>
      <c r="B585" s="28"/>
      <c r="C585" s="194" t="s">
        <v>5268</v>
      </c>
      <c r="D585" s="28"/>
    </row>
    <row r="586" spans="1:4" ht="12.75" customHeight="1" x14ac:dyDescent="0.35">
      <c r="A586" s="28"/>
      <c r="B586" s="28"/>
      <c r="C586" s="194" t="s">
        <v>5396</v>
      </c>
      <c r="D586" s="28"/>
    </row>
    <row r="587" spans="1:4" ht="12.75" customHeight="1" x14ac:dyDescent="0.35">
      <c r="A587" s="28"/>
      <c r="C587" s="194" t="s">
        <v>5426</v>
      </c>
      <c r="D587" s="28"/>
    </row>
    <row r="588" spans="1:4" ht="12.75" customHeight="1" x14ac:dyDescent="0.35">
      <c r="A588" s="28"/>
      <c r="B588" s="28"/>
      <c r="C588" s="194" t="s">
        <v>5397</v>
      </c>
      <c r="D588" s="28"/>
    </row>
    <row r="589" spans="1:4" ht="12.75" customHeight="1" x14ac:dyDescent="0.35">
      <c r="A589" s="28"/>
      <c r="B589" s="28"/>
      <c r="C589" s="194" t="s">
        <v>5269</v>
      </c>
      <c r="D589" s="28"/>
    </row>
    <row r="590" spans="1:4" ht="12.75" customHeight="1" x14ac:dyDescent="0.35">
      <c r="A590" s="28"/>
      <c r="B590" s="28"/>
      <c r="C590" s="194" t="s">
        <v>5396</v>
      </c>
      <c r="D590" s="28"/>
    </row>
    <row r="591" spans="1:4" ht="12.75" customHeight="1" x14ac:dyDescent="0.35">
      <c r="A591" s="28"/>
      <c r="C591" s="194" t="s">
        <v>5426</v>
      </c>
      <c r="D591" s="28"/>
    </row>
    <row r="592" spans="1:4" ht="12.75" customHeight="1" x14ac:dyDescent="0.35">
      <c r="A592" s="28"/>
      <c r="B592" s="28"/>
      <c r="C592" s="194" t="s">
        <v>5397</v>
      </c>
      <c r="D592" s="28"/>
    </row>
    <row r="593" spans="1:4" ht="12.75" customHeight="1" x14ac:dyDescent="0.35">
      <c r="A593" s="28"/>
      <c r="B593" s="28"/>
      <c r="C593" s="194" t="s">
        <v>5270</v>
      </c>
      <c r="D593" s="28"/>
    </row>
    <row r="594" spans="1:4" ht="12.75" customHeight="1" x14ac:dyDescent="0.35">
      <c r="A594" s="28"/>
      <c r="B594" s="28"/>
      <c r="C594" s="194" t="s">
        <v>5396</v>
      </c>
      <c r="D594" s="28"/>
    </row>
    <row r="595" spans="1:4" ht="12.75" customHeight="1" x14ac:dyDescent="0.35">
      <c r="A595" s="28"/>
      <c r="C595" s="194" t="s">
        <v>5426</v>
      </c>
      <c r="D595" s="28"/>
    </row>
    <row r="596" spans="1:4" ht="12.75" customHeight="1" x14ac:dyDescent="0.35">
      <c r="A596" s="28"/>
      <c r="B596" s="28"/>
      <c r="C596" s="28" t="s">
        <v>966</v>
      </c>
      <c r="D596" s="28"/>
    </row>
    <row r="597" spans="1:4" ht="12.75" customHeight="1" x14ac:dyDescent="0.35">
      <c r="A597" s="28"/>
      <c r="B597" s="28" t="s">
        <v>968</v>
      </c>
      <c r="C597" s="28"/>
      <c r="D597" s="28"/>
    </row>
    <row r="598" spans="1:4" ht="12.75" customHeight="1" x14ac:dyDescent="0.35">
      <c r="A598" s="28"/>
      <c r="B598" s="28"/>
      <c r="C598" s="194" t="s">
        <v>5395</v>
      </c>
      <c r="D598" s="28"/>
    </row>
    <row r="599" spans="1:4" ht="12.75" customHeight="1" x14ac:dyDescent="0.35">
      <c r="A599" s="28"/>
      <c r="B599" s="28"/>
      <c r="C599" s="194" t="s">
        <v>971</v>
      </c>
      <c r="D599" s="28"/>
    </row>
    <row r="600" spans="1:4" ht="12.75" customHeight="1" x14ac:dyDescent="0.35">
      <c r="A600" s="28"/>
      <c r="B600" s="28"/>
      <c r="C600" s="194" t="s">
        <v>5396</v>
      </c>
      <c r="D600" s="28"/>
    </row>
    <row r="601" spans="1:4" ht="12.75" customHeight="1" x14ac:dyDescent="0.35">
      <c r="A601" s="28"/>
      <c r="B601" s="28"/>
      <c r="C601" s="194" t="s">
        <v>5464</v>
      </c>
      <c r="D601" s="28"/>
    </row>
    <row r="602" spans="1:4" ht="12.75" customHeight="1" x14ac:dyDescent="0.35">
      <c r="A602" s="28"/>
      <c r="B602" s="28"/>
      <c r="C602" s="194" t="s">
        <v>5395</v>
      </c>
      <c r="D602" s="28"/>
    </row>
    <row r="603" spans="1:4" ht="12.75" customHeight="1" x14ac:dyDescent="0.35">
      <c r="A603" s="28"/>
      <c r="B603" s="28"/>
      <c r="C603" s="194" t="s">
        <v>5327</v>
      </c>
      <c r="D603" s="28"/>
    </row>
    <row r="604" spans="1:4" ht="12.75" customHeight="1" x14ac:dyDescent="0.35">
      <c r="A604" s="28"/>
      <c r="B604" s="28"/>
      <c r="C604" s="194" t="s">
        <v>5396</v>
      </c>
      <c r="D604" s="28"/>
    </row>
    <row r="605" spans="1:4" ht="12.75" customHeight="1" x14ac:dyDescent="0.35">
      <c r="A605" s="28"/>
      <c r="B605" s="28"/>
      <c r="C605" s="194" t="s">
        <v>5464</v>
      </c>
      <c r="D605" s="28"/>
    </row>
    <row r="606" spans="1:4" ht="12.75" customHeight="1" x14ac:dyDescent="0.35">
      <c r="A606" s="28"/>
      <c r="B606" s="28"/>
      <c r="C606" s="194" t="s">
        <v>5395</v>
      </c>
      <c r="D606" s="28"/>
    </row>
    <row r="607" spans="1:4" ht="12.75" customHeight="1" x14ac:dyDescent="0.35">
      <c r="A607" s="28"/>
      <c r="B607" s="28"/>
      <c r="C607" s="194" t="s">
        <v>5328</v>
      </c>
      <c r="D607" s="28"/>
    </row>
    <row r="608" spans="1:4" ht="12.75" customHeight="1" x14ac:dyDescent="0.35">
      <c r="A608" s="28"/>
      <c r="B608" s="28"/>
      <c r="C608" s="194" t="s">
        <v>5396</v>
      </c>
      <c r="D608" s="28"/>
    </row>
    <row r="609" spans="1:4" ht="12.75" customHeight="1" x14ac:dyDescent="0.35">
      <c r="A609" s="28"/>
      <c r="B609" s="28"/>
      <c r="C609" s="194" t="s">
        <v>5464</v>
      </c>
      <c r="D609" s="28"/>
    </row>
    <row r="610" spans="1:4" ht="12.75" customHeight="1" x14ac:dyDescent="0.35">
      <c r="A610" s="28"/>
      <c r="B610" s="28"/>
      <c r="C610" s="194" t="s">
        <v>5395</v>
      </c>
      <c r="D610" s="28"/>
    </row>
    <row r="611" spans="1:4" ht="12.75" customHeight="1" x14ac:dyDescent="0.35">
      <c r="A611" s="28"/>
      <c r="B611" s="28"/>
      <c r="C611" s="194" t="s">
        <v>5329</v>
      </c>
      <c r="D611" s="28"/>
    </row>
    <row r="612" spans="1:4" ht="12.75" customHeight="1" x14ac:dyDescent="0.35">
      <c r="A612" s="28"/>
      <c r="B612" s="28"/>
      <c r="C612" s="194" t="s">
        <v>5396</v>
      </c>
      <c r="D612" s="28"/>
    </row>
    <row r="613" spans="1:4" ht="12.75" customHeight="1" x14ac:dyDescent="0.35">
      <c r="A613" s="28"/>
      <c r="B613" s="28"/>
      <c r="C613" s="194" t="s">
        <v>5464</v>
      </c>
      <c r="D613" s="28"/>
    </row>
    <row r="614" spans="1:4" ht="12.75" customHeight="1" x14ac:dyDescent="0.35">
      <c r="A614" s="28"/>
      <c r="B614" s="28"/>
      <c r="C614" s="194" t="s">
        <v>5395</v>
      </c>
      <c r="D614" s="28"/>
    </row>
    <row r="615" spans="1:4" ht="12.75" customHeight="1" x14ac:dyDescent="0.35">
      <c r="A615" s="28"/>
      <c r="B615" s="28"/>
      <c r="C615" s="194" t="s">
        <v>5330</v>
      </c>
      <c r="D615" s="28"/>
    </row>
    <row r="616" spans="1:4" ht="12.75" customHeight="1" x14ac:dyDescent="0.35">
      <c r="A616" s="28"/>
      <c r="B616" s="28"/>
      <c r="C616" s="194" t="s">
        <v>5396</v>
      </c>
      <c r="D616" s="28"/>
    </row>
    <row r="617" spans="1:4" ht="12.75" customHeight="1" x14ac:dyDescent="0.35">
      <c r="A617" s="28"/>
      <c r="B617" s="28"/>
      <c r="C617" s="194" t="s">
        <v>5464</v>
      </c>
      <c r="D617" s="28"/>
    </row>
    <row r="618" spans="1:4" ht="12.75" customHeight="1" x14ac:dyDescent="0.35">
      <c r="A618" s="28"/>
      <c r="B618" s="28"/>
      <c r="C618" s="1250" t="s">
        <v>5632</v>
      </c>
      <c r="D618" s="28"/>
    </row>
    <row r="619" spans="1:4" ht="12.75" customHeight="1" x14ac:dyDescent="0.35">
      <c r="A619" s="28"/>
      <c r="B619" s="28"/>
      <c r="C619" s="1250" t="s">
        <v>5633</v>
      </c>
      <c r="D619" s="28"/>
    </row>
    <row r="620" spans="1:4" ht="12.75" customHeight="1" x14ac:dyDescent="0.35">
      <c r="A620" s="28"/>
      <c r="B620" s="28"/>
      <c r="C620" s="28" t="s">
        <v>975</v>
      </c>
      <c r="D620" s="28"/>
    </row>
    <row r="621" spans="1:4" ht="12.75" customHeight="1" x14ac:dyDescent="0.35">
      <c r="A621" s="28"/>
      <c r="B621" s="28"/>
      <c r="C621" s="28" t="s">
        <v>5644</v>
      </c>
      <c r="D621" s="28"/>
    </row>
    <row r="622" spans="1:4" ht="12.75" customHeight="1" x14ac:dyDescent="0.35">
      <c r="A622" s="28"/>
      <c r="B622" s="28"/>
      <c r="C622" s="1250" t="s">
        <v>5645</v>
      </c>
      <c r="D622" s="28"/>
    </row>
    <row r="623" spans="1:4" ht="12.75" customHeight="1" x14ac:dyDescent="0.35">
      <c r="A623" s="28"/>
      <c r="B623" s="28"/>
      <c r="C623" s="1250" t="s">
        <v>5675</v>
      </c>
      <c r="D623" s="28"/>
    </row>
    <row r="624" spans="1:4" ht="12.75" customHeight="1" x14ac:dyDescent="0.35">
      <c r="A624" s="28"/>
      <c r="B624" s="28"/>
      <c r="C624" s="28" t="s">
        <v>978</v>
      </c>
      <c r="D624" s="28"/>
    </row>
    <row r="625" spans="1:4" ht="12.75" customHeight="1" x14ac:dyDescent="0.35">
      <c r="A625" s="28"/>
      <c r="B625" s="28" t="s">
        <v>980</v>
      </c>
      <c r="C625" s="28"/>
      <c r="D625" s="28"/>
    </row>
    <row r="626" spans="1:4" ht="12.75" customHeight="1" x14ac:dyDescent="0.35">
      <c r="A626" s="28"/>
      <c r="B626" s="28" t="s">
        <v>982</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987</v>
      </c>
      <c r="C630" s="28"/>
      <c r="D630" s="28"/>
    </row>
    <row r="631" spans="1:4" ht="12.75" customHeight="1" x14ac:dyDescent="0.35">
      <c r="A631" s="28"/>
      <c r="B631" s="28"/>
      <c r="C631" s="28"/>
      <c r="D631" s="28"/>
    </row>
    <row r="632" spans="1:4" ht="12.75" customHeight="1" x14ac:dyDescent="0.35">
      <c r="A632" s="28"/>
      <c r="B632" s="28" t="s">
        <v>59</v>
      </c>
      <c r="C632" s="28"/>
      <c r="D632" s="28"/>
    </row>
    <row r="633" spans="1:4" ht="12.75" customHeight="1" x14ac:dyDescent="0.35">
      <c r="A633" s="28"/>
      <c r="B633" s="28" t="s">
        <v>991</v>
      </c>
      <c r="C633" s="28"/>
      <c r="D633" s="28"/>
    </row>
    <row r="634" spans="1:4" ht="12.75" customHeight="1" x14ac:dyDescent="0.35">
      <c r="A634" s="28"/>
      <c r="B634" s="28"/>
      <c r="C634" s="28" t="s">
        <v>817</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821</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837</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1013</v>
      </c>
      <c r="D667" s="28"/>
    </row>
    <row r="668" spans="1:4" ht="12.75" customHeight="1" x14ac:dyDescent="0.35">
      <c r="A668" s="28"/>
      <c r="B668" s="28"/>
      <c r="C668" s="28"/>
      <c r="D668" s="28"/>
    </row>
    <row r="669" spans="1:4" ht="12.75" customHeight="1" x14ac:dyDescent="0.35">
      <c r="A669" s="28"/>
      <c r="B669" s="28"/>
      <c r="C669" s="28" t="s">
        <v>980</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991</v>
      </c>
      <c r="C673" s="28"/>
      <c r="D673" s="28"/>
    </row>
    <row r="674" spans="1:4" ht="12.75" customHeight="1" x14ac:dyDescent="0.35">
      <c r="A674" s="28"/>
      <c r="B674" s="28" t="s">
        <v>57</v>
      </c>
      <c r="C674" s="28"/>
      <c r="D674" s="28"/>
    </row>
    <row r="675" spans="1:4" ht="12.75" customHeight="1" x14ac:dyDescent="0.35">
      <c r="A675" s="28"/>
      <c r="B675" s="28" t="s">
        <v>1022</v>
      </c>
      <c r="C675" s="28"/>
      <c r="D675" s="28"/>
    </row>
    <row r="676" spans="1:4" ht="12.75" customHeight="1" x14ac:dyDescent="0.35">
      <c r="A676" s="28"/>
      <c r="B676" s="28" t="s">
        <v>1024</v>
      </c>
      <c r="C676" s="28"/>
      <c r="D676" s="28"/>
    </row>
    <row r="677" spans="1:4" ht="12.75" customHeight="1" x14ac:dyDescent="0.35">
      <c r="A677" s="28"/>
      <c r="B677" s="28"/>
      <c r="C677" s="28" t="s">
        <v>1026</v>
      </c>
      <c r="D677" s="28"/>
    </row>
    <row r="678" spans="1:4" ht="12.75" customHeight="1" x14ac:dyDescent="0.35">
      <c r="A678" s="28"/>
      <c r="B678" s="28"/>
      <c r="C678" s="28"/>
      <c r="D678" s="28"/>
    </row>
    <row r="679" spans="1:4" ht="12.75" customHeight="1" x14ac:dyDescent="0.35">
      <c r="A679" s="28"/>
      <c r="B679" s="28"/>
      <c r="C679" s="28" t="s">
        <v>881</v>
      </c>
      <c r="D679" s="28"/>
    </row>
    <row r="680" spans="1:4" ht="12.75" customHeight="1" x14ac:dyDescent="0.35">
      <c r="A680" s="28"/>
      <c r="B680" s="1287" t="str">
        <f>"Free cash flow "&amp;IF(FCFEinUse&lt;&gt;1,"(FCF)","to firm (FCFF)")</f>
        <v>Free cash flow (FCF)</v>
      </c>
      <c r="C680" s="28"/>
      <c r="D680" s="28"/>
    </row>
    <row r="681" spans="1:4" ht="12.75" customHeight="1" x14ac:dyDescent="0.35">
      <c r="A681" s="28"/>
      <c r="B681" s="1287" t="str">
        <f>"Discounted free cash flow "&amp;IF(FCFEinUse&lt;&gt;1,"(DFCF)","to firm (DFCFF)")</f>
        <v>Discounted free cash flow (DFCF)</v>
      </c>
      <c r="C681" s="28"/>
      <c r="D681" s="28"/>
    </row>
    <row r="682" spans="1:4" ht="12.75" customHeight="1" x14ac:dyDescent="0.35">
      <c r="A682" s="28"/>
      <c r="B682" s="1287" t="str">
        <f>"Cumulative discounted free cash flow"&amp;IF(FCFEinUse&lt;&gt;1,""," to firm")</f>
        <v>Cumulative discounted free cash flow</v>
      </c>
      <c r="C682" s="28"/>
      <c r="D682" s="28"/>
    </row>
    <row r="683" spans="1:4" ht="12.75" customHeight="1" x14ac:dyDescent="0.35">
      <c r="A683" s="28"/>
      <c r="B683" s="28" t="s">
        <v>1034</v>
      </c>
      <c r="C683" s="28"/>
      <c r="D683" s="28"/>
    </row>
    <row r="684" spans="1:4" ht="12.75" customHeight="1" x14ac:dyDescent="0.35">
      <c r="A684" s="28"/>
      <c r="B684" s="28" t="s">
        <v>1036</v>
      </c>
      <c r="C684" s="28"/>
      <c r="D684" s="28"/>
    </row>
    <row r="685" spans="1:4" ht="12.75" customHeight="1" x14ac:dyDescent="0.35">
      <c r="A685" s="28"/>
      <c r="B685" s="28" t="s">
        <v>1038</v>
      </c>
      <c r="C685" s="28"/>
      <c r="D685" s="28"/>
    </row>
    <row r="686" spans="1:4" ht="12.75" customHeight="1" x14ac:dyDescent="0.35">
      <c r="A686" s="28"/>
      <c r="B686" s="28" t="s">
        <v>1041</v>
      </c>
      <c r="C686" s="28"/>
      <c r="D686" s="28"/>
    </row>
    <row r="687" spans="1:4" ht="12.75" customHeight="1" x14ac:dyDescent="0.35">
      <c r="A687" s="28"/>
      <c r="B687" s="28"/>
      <c r="C687" s="28" t="s">
        <v>1043</v>
      </c>
      <c r="D687" s="28"/>
    </row>
    <row r="688" spans="1:4" ht="12.75" customHeight="1" x14ac:dyDescent="0.35">
      <c r="A688" s="28"/>
      <c r="B688" s="28"/>
      <c r="C688" s="28" t="s">
        <v>1045</v>
      </c>
      <c r="D688" s="28"/>
    </row>
    <row r="689" spans="1:4" ht="12.75" customHeight="1" x14ac:dyDescent="0.35">
      <c r="A689" s="28"/>
      <c r="B689" s="28"/>
      <c r="C689" s="28" t="s">
        <v>1047</v>
      </c>
      <c r="D689" s="28"/>
    </row>
    <row r="690" spans="1:4" ht="12.75" customHeight="1" x14ac:dyDescent="0.35">
      <c r="A690" s="28"/>
      <c r="B690" s="28"/>
      <c r="C690" s="28" t="s">
        <v>1049</v>
      </c>
      <c r="D690" s="28"/>
    </row>
    <row r="691" spans="1:4" ht="12.75" customHeight="1" x14ac:dyDescent="0.35">
      <c r="A691" s="28"/>
      <c r="B691" s="28"/>
      <c r="C691" s="1287" t="str">
        <f>C689</f>
        <v>Long-term debt, increase (+) / decrease (-)</v>
      </c>
      <c r="D691" s="28"/>
    </row>
    <row r="692" spans="1:4" ht="12.75" customHeight="1" x14ac:dyDescent="0.35">
      <c r="A692" s="28"/>
      <c r="B692" s="28"/>
      <c r="C692" s="28" t="s">
        <v>1052</v>
      </c>
      <c r="D692" s="28"/>
    </row>
    <row r="693" spans="1:4" ht="12.75" customHeight="1" x14ac:dyDescent="0.35">
      <c r="A693" s="28"/>
      <c r="B693" s="28"/>
      <c r="C693" s="28" t="s">
        <v>1054</v>
      </c>
      <c r="D693" s="28"/>
    </row>
    <row r="694" spans="1:4" ht="12.75" customHeight="1" x14ac:dyDescent="0.35">
      <c r="A694" s="28"/>
      <c r="B694" s="28"/>
      <c r="C694" s="1250" t="s">
        <v>5652</v>
      </c>
      <c r="D694" s="28"/>
    </row>
    <row r="695" spans="1:4" ht="12.75" customHeight="1" x14ac:dyDescent="0.35">
      <c r="A695" s="28"/>
      <c r="B695" s="28"/>
      <c r="C695" s="28" t="s">
        <v>1056</v>
      </c>
      <c r="D695" s="28"/>
    </row>
    <row r="696" spans="1:4" ht="12.75" customHeight="1" x14ac:dyDescent="0.35">
      <c r="A696" s="28"/>
      <c r="B696" s="28"/>
      <c r="C696" s="28" t="s">
        <v>1058</v>
      </c>
      <c r="D696" s="28"/>
    </row>
    <row r="697" spans="1:4" ht="12.75" customHeight="1" x14ac:dyDescent="0.35">
      <c r="A697" s="28"/>
      <c r="B697" s="97" t="s">
        <v>1060</v>
      </c>
      <c r="D697" s="28"/>
    </row>
    <row r="698" spans="1:4" ht="12.75" customHeight="1" x14ac:dyDescent="0.35">
      <c r="A698" s="28"/>
      <c r="B698" s="97" t="s">
        <v>1062</v>
      </c>
      <c r="D698" s="28"/>
    </row>
    <row r="699" spans="1:4" ht="12.75" customHeight="1" x14ac:dyDescent="0.35">
      <c r="A699" s="28"/>
      <c r="B699" s="97" t="s">
        <v>1064</v>
      </c>
      <c r="D699" s="28"/>
    </row>
    <row r="700" spans="1:4" ht="12.75" customHeight="1" x14ac:dyDescent="0.35">
      <c r="A700" s="28"/>
      <c r="B700" s="97" t="s">
        <v>1066</v>
      </c>
      <c r="D700" s="28"/>
    </row>
    <row r="701" spans="1:4" ht="12.75" customHeight="1" x14ac:dyDescent="0.35">
      <c r="A701" s="28"/>
      <c r="B701" s="28"/>
      <c r="C701" s="28" t="s">
        <v>1068</v>
      </c>
      <c r="D701" s="28"/>
    </row>
    <row r="702" spans="1:4" ht="12.75" customHeight="1" x14ac:dyDescent="0.35">
      <c r="A702" s="28"/>
      <c r="B702" s="28"/>
      <c r="C702" s="28" t="s">
        <v>1070</v>
      </c>
      <c r="D702" s="28"/>
    </row>
    <row r="703" spans="1:4" ht="12.75" customHeight="1" x14ac:dyDescent="0.35">
      <c r="A703" s="28"/>
      <c r="B703" s="28"/>
      <c r="C703" s="28" t="s">
        <v>1072</v>
      </c>
      <c r="D703" s="28"/>
    </row>
    <row r="704" spans="1:4" ht="12.75" customHeight="1" x14ac:dyDescent="0.35">
      <c r="A704" s="28"/>
      <c r="B704" s="28"/>
      <c r="C704" s="28" t="s">
        <v>1074</v>
      </c>
      <c r="D704" s="28"/>
    </row>
    <row r="705" spans="1:4" ht="12.75" customHeight="1" x14ac:dyDescent="0.35">
      <c r="A705" s="28"/>
      <c r="B705" s="28"/>
      <c r="C705" s="28" t="s">
        <v>1076</v>
      </c>
      <c r="D705" s="28"/>
    </row>
    <row r="706" spans="1:4" ht="12.75" customHeight="1" x14ac:dyDescent="0.35">
      <c r="A706" s="28"/>
      <c r="B706" s="28"/>
      <c r="C706" s="105" t="s">
        <v>1078</v>
      </c>
      <c r="D706" s="28"/>
    </row>
    <row r="707" spans="1:4" ht="12.75" customHeight="1" x14ac:dyDescent="0.35">
      <c r="A707" s="28"/>
      <c r="B707" s="28" t="s">
        <v>1080</v>
      </c>
      <c r="C707" s="28"/>
      <c r="D707" s="28"/>
    </row>
    <row r="708" spans="1:4" ht="12.75" customHeight="1" x14ac:dyDescent="0.35">
      <c r="A708" s="28"/>
      <c r="B708" s="28" t="s">
        <v>1082</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1087</v>
      </c>
      <c r="C712" s="28"/>
      <c r="D712" s="28"/>
    </row>
    <row r="713" spans="1:4" ht="12.75" customHeight="1" x14ac:dyDescent="0.35">
      <c r="A713" s="28"/>
      <c r="B713" s="28"/>
      <c r="C713" s="28"/>
      <c r="D713" s="28"/>
    </row>
    <row r="714" spans="1:4" ht="12.75" customHeight="1" x14ac:dyDescent="0.35">
      <c r="A714" s="28"/>
      <c r="B714" s="28" t="s">
        <v>59</v>
      </c>
      <c r="C714" s="28"/>
      <c r="D714" s="28"/>
    </row>
    <row r="715" spans="1:4" ht="12.75" customHeight="1" x14ac:dyDescent="0.35">
      <c r="A715" s="28"/>
      <c r="B715" s="28" t="s">
        <v>1091</v>
      </c>
      <c r="C715" s="28"/>
      <c r="D715" s="28" t="s">
        <v>1092</v>
      </c>
    </row>
    <row r="716" spans="1:4" ht="12.75" customHeight="1" x14ac:dyDescent="0.35">
      <c r="A716" s="28"/>
      <c r="B716" s="28" t="s">
        <v>1094</v>
      </c>
      <c r="C716" s="28"/>
      <c r="D716" s="28"/>
    </row>
    <row r="717" spans="1:4" ht="12.75" customHeight="1" x14ac:dyDescent="0.35">
      <c r="A717" s="28"/>
      <c r="B717" s="28"/>
      <c r="C717" s="28" t="s">
        <v>1096</v>
      </c>
      <c r="D717" s="28"/>
    </row>
    <row r="718" spans="1:4" ht="12.75" customHeight="1" x14ac:dyDescent="0.35">
      <c r="A718" s="28"/>
      <c r="B718" s="28"/>
      <c r="C718" s="28" t="s">
        <v>1098</v>
      </c>
      <c r="D718" s="28"/>
    </row>
    <row r="719" spans="1:4" ht="12.75" customHeight="1" x14ac:dyDescent="0.35">
      <c r="A719" s="28"/>
      <c r="B719" s="28"/>
      <c r="C719" s="28" t="s">
        <v>1100</v>
      </c>
      <c r="D719" s="28"/>
    </row>
    <row r="720" spans="1:4" ht="12.75" customHeight="1" x14ac:dyDescent="0.35">
      <c r="A720" s="28"/>
      <c r="B720" s="28"/>
      <c r="C720" s="28" t="s">
        <v>1098</v>
      </c>
      <c r="D720" s="28"/>
    </row>
    <row r="721" spans="1:4" ht="12.75" customHeight="1" x14ac:dyDescent="0.35">
      <c r="A721" s="28"/>
      <c r="B721" s="28"/>
      <c r="C721" s="28" t="s">
        <v>1103</v>
      </c>
      <c r="D721" s="28"/>
    </row>
    <row r="722" spans="1:4" ht="12.75" customHeight="1" x14ac:dyDescent="0.35">
      <c r="A722" s="28"/>
      <c r="B722" s="28"/>
      <c r="C722" s="103" t="s">
        <v>1105</v>
      </c>
      <c r="D722" s="28"/>
    </row>
    <row r="723" spans="1:4" ht="12.75" customHeight="1" x14ac:dyDescent="0.35">
      <c r="A723" s="28"/>
      <c r="B723" s="28"/>
      <c r="C723" s="103" t="s">
        <v>1107</v>
      </c>
      <c r="D723" s="28"/>
    </row>
    <row r="724" spans="1:4" ht="12.75" customHeight="1" x14ac:dyDescent="0.35">
      <c r="A724" s="28"/>
      <c r="B724" s="28"/>
      <c r="C724" s="103" t="s">
        <v>1105</v>
      </c>
      <c r="D724" s="28"/>
    </row>
    <row r="725" spans="1:4" ht="12.75" customHeight="1" x14ac:dyDescent="0.35">
      <c r="A725" s="28"/>
      <c r="B725" s="28"/>
      <c r="C725" s="103" t="s">
        <v>1103</v>
      </c>
      <c r="D725" s="28"/>
    </row>
    <row r="726" spans="1:4" ht="12.75" customHeight="1" x14ac:dyDescent="0.35">
      <c r="A726" s="28"/>
      <c r="B726" s="28"/>
      <c r="C726" s="103" t="s">
        <v>781</v>
      </c>
      <c r="D726" s="28"/>
    </row>
    <row r="727" spans="1:4" ht="12.75" customHeight="1" x14ac:dyDescent="0.35">
      <c r="A727" s="28"/>
      <c r="B727" s="28"/>
      <c r="C727" s="103" t="s">
        <v>1112</v>
      </c>
      <c r="D727" s="28"/>
    </row>
    <row r="728" spans="1:4" ht="12.75" customHeight="1" x14ac:dyDescent="0.35">
      <c r="A728" s="28"/>
      <c r="B728" s="28"/>
      <c r="C728" s="103" t="s">
        <v>781</v>
      </c>
      <c r="D728" s="28"/>
    </row>
    <row r="729" spans="1:4" ht="12.75" customHeight="1" x14ac:dyDescent="0.35">
      <c r="A729" s="28"/>
      <c r="B729" s="28"/>
      <c r="C729" s="103" t="s">
        <v>1103</v>
      </c>
      <c r="D729" s="28"/>
    </row>
    <row r="730" spans="1:4" ht="12.75" customHeight="1" x14ac:dyDescent="0.35">
      <c r="A730" s="28"/>
      <c r="B730" s="28"/>
      <c r="C730" s="103" t="s">
        <v>1116</v>
      </c>
      <c r="D730" s="28"/>
    </row>
    <row r="731" spans="1:4" ht="12.75" customHeight="1" x14ac:dyDescent="0.35">
      <c r="A731" s="28"/>
      <c r="B731" s="28"/>
      <c r="C731" s="103" t="s">
        <v>1118</v>
      </c>
      <c r="D731" s="28"/>
    </row>
    <row r="732" spans="1:4" ht="12.75" customHeight="1" x14ac:dyDescent="0.35">
      <c r="A732" s="28"/>
      <c r="B732" s="28"/>
      <c r="C732" s="103" t="s">
        <v>1116</v>
      </c>
      <c r="D732" s="28"/>
    </row>
    <row r="733" spans="1:4" ht="12.75" customHeight="1" x14ac:dyDescent="0.35">
      <c r="A733" s="28"/>
      <c r="B733" s="28"/>
      <c r="C733" s="103" t="s">
        <v>1103</v>
      </c>
      <c r="D733" s="28"/>
    </row>
    <row r="734" spans="1:4" ht="12.75" customHeight="1" x14ac:dyDescent="0.35">
      <c r="A734" s="28"/>
      <c r="B734" s="28"/>
      <c r="C734" s="28" t="s">
        <v>1122</v>
      </c>
      <c r="D734" s="28"/>
    </row>
    <row r="735" spans="1:4" ht="12.75" customHeight="1" x14ac:dyDescent="0.35">
      <c r="A735" s="28"/>
      <c r="B735" s="28"/>
      <c r="C735" s="28" t="s">
        <v>1124</v>
      </c>
      <c r="D735" s="28"/>
    </row>
    <row r="736" spans="1:4" ht="12.75" customHeight="1" x14ac:dyDescent="0.35">
      <c r="A736" s="28"/>
      <c r="B736" s="28"/>
      <c r="C736" s="28" t="s">
        <v>1126</v>
      </c>
      <c r="D736" s="28"/>
    </row>
    <row r="737" spans="1:4" ht="12.75" customHeight="1" x14ac:dyDescent="0.35">
      <c r="A737" s="28"/>
      <c r="B737" s="28"/>
      <c r="C737" s="103" t="s">
        <v>1124</v>
      </c>
      <c r="D737" s="28"/>
    </row>
    <row r="738" spans="1:4" ht="12.75" customHeight="1" x14ac:dyDescent="0.35">
      <c r="A738" s="28"/>
      <c r="B738" s="28"/>
      <c r="C738" s="103" t="s">
        <v>1103</v>
      </c>
      <c r="D738" s="28"/>
    </row>
    <row r="739" spans="1:4" ht="12.75" customHeight="1" x14ac:dyDescent="0.35">
      <c r="A739" s="28"/>
      <c r="B739" s="28"/>
      <c r="C739" s="103" t="s">
        <v>1130</v>
      </c>
      <c r="D739" s="28"/>
    </row>
    <row r="740" spans="1:4" ht="12.75" customHeight="1" x14ac:dyDescent="0.35">
      <c r="A740" s="28"/>
      <c r="B740" s="28"/>
      <c r="C740" s="103" t="s">
        <v>1132</v>
      </c>
      <c r="D740" s="28"/>
    </row>
    <row r="741" spans="1:4" ht="12.75" customHeight="1" x14ac:dyDescent="0.35">
      <c r="A741" s="28"/>
      <c r="B741" s="28"/>
      <c r="C741" s="103" t="s">
        <v>1130</v>
      </c>
      <c r="D741" s="28"/>
    </row>
    <row r="742" spans="1:4" ht="12.75" customHeight="1" x14ac:dyDescent="0.35">
      <c r="A742" s="28"/>
      <c r="B742" s="28"/>
      <c r="C742" s="103" t="s">
        <v>1103</v>
      </c>
      <c r="D742" s="28"/>
    </row>
    <row r="743" spans="1:4" ht="12.75" customHeight="1" x14ac:dyDescent="0.35">
      <c r="A743" s="28"/>
      <c r="B743" s="28"/>
      <c r="C743" s="103" t="s">
        <v>1136</v>
      </c>
      <c r="D743" s="28"/>
    </row>
    <row r="744" spans="1:4" ht="12.75" customHeight="1" x14ac:dyDescent="0.35">
      <c r="A744" s="28"/>
      <c r="B744" s="28"/>
      <c r="C744" s="103" t="s">
        <v>1138</v>
      </c>
      <c r="D744" s="28"/>
    </row>
    <row r="745" spans="1:4" ht="12.75" customHeight="1" x14ac:dyDescent="0.35">
      <c r="A745" s="28"/>
      <c r="B745" s="28"/>
      <c r="C745" s="103" t="s">
        <v>1136</v>
      </c>
      <c r="D745" s="28"/>
    </row>
    <row r="746" spans="1:4" ht="12.75" customHeight="1" x14ac:dyDescent="0.35">
      <c r="A746" s="28"/>
      <c r="B746" s="28"/>
      <c r="C746" s="103" t="s">
        <v>1103</v>
      </c>
      <c r="D746" s="28"/>
    </row>
    <row r="747" spans="1:4" ht="12.75" customHeight="1" x14ac:dyDescent="0.35">
      <c r="A747" s="28"/>
      <c r="B747" s="28"/>
      <c r="C747" s="106" t="s">
        <v>1142</v>
      </c>
      <c r="D747" s="28"/>
    </row>
    <row r="748" spans="1:4" ht="12.75" customHeight="1" x14ac:dyDescent="0.35">
      <c r="A748" s="28"/>
      <c r="B748" s="28"/>
      <c r="C748" s="106" t="s">
        <v>1144</v>
      </c>
      <c r="D748" s="28"/>
    </row>
    <row r="749" spans="1:4" ht="12.75" customHeight="1" x14ac:dyDescent="0.35">
      <c r="A749" s="28"/>
      <c r="B749" s="28"/>
      <c r="C749" s="106" t="s">
        <v>1142</v>
      </c>
      <c r="D749" s="28"/>
    </row>
    <row r="750" spans="1:4" ht="12.75" customHeight="1" x14ac:dyDescent="0.35">
      <c r="A750" s="28"/>
      <c r="B750" s="28"/>
      <c r="C750" s="106" t="s">
        <v>1103</v>
      </c>
      <c r="D750" s="28"/>
    </row>
    <row r="751" spans="1:4" ht="12.75" customHeight="1" x14ac:dyDescent="0.35">
      <c r="A751" s="28"/>
      <c r="B751" s="28"/>
      <c r="C751" s="103" t="s">
        <v>1148</v>
      </c>
      <c r="D751" s="28"/>
    </row>
    <row r="752" spans="1:4" ht="12.75" customHeight="1" x14ac:dyDescent="0.35">
      <c r="A752" s="28"/>
      <c r="B752" s="28"/>
      <c r="C752" s="103" t="s">
        <v>1150</v>
      </c>
      <c r="D752" s="28"/>
    </row>
    <row r="753" spans="1:4" ht="12.75" customHeight="1" x14ac:dyDescent="0.35">
      <c r="A753" s="28"/>
      <c r="B753" s="28"/>
      <c r="C753" s="103" t="s">
        <v>1148</v>
      </c>
      <c r="D753" s="28"/>
    </row>
    <row r="754" spans="1:4" ht="12.75" customHeight="1" x14ac:dyDescent="0.35">
      <c r="A754" s="28"/>
      <c r="B754" s="28"/>
      <c r="C754" s="103" t="s">
        <v>1103</v>
      </c>
      <c r="D754" s="28"/>
    </row>
    <row r="755" spans="1:4" ht="12.75" customHeight="1" x14ac:dyDescent="0.35">
      <c r="A755" s="28"/>
      <c r="B755" s="28"/>
      <c r="C755" s="28" t="s">
        <v>642</v>
      </c>
      <c r="D755" s="28"/>
    </row>
    <row r="756" spans="1:4" ht="12.75" customHeight="1" x14ac:dyDescent="0.35">
      <c r="A756" s="28"/>
      <c r="B756" s="28"/>
      <c r="C756" s="28" t="s">
        <v>1155</v>
      </c>
      <c r="D756" s="28"/>
    </row>
    <row r="757" spans="1:4" ht="12.75" customHeight="1" x14ac:dyDescent="0.35">
      <c r="A757" s="28"/>
      <c r="B757" s="28"/>
      <c r="C757" s="28" t="s">
        <v>1157</v>
      </c>
      <c r="D757" s="28"/>
    </row>
    <row r="758" spans="1:4" ht="12.75" customHeight="1" x14ac:dyDescent="0.35">
      <c r="A758" s="28"/>
      <c r="B758" s="28"/>
      <c r="C758" s="103" t="s">
        <v>1155</v>
      </c>
      <c r="D758" s="28"/>
    </row>
    <row r="759" spans="1:4" ht="12.75" customHeight="1" x14ac:dyDescent="0.35">
      <c r="A759" s="28"/>
      <c r="B759" s="28"/>
      <c r="C759" s="103" t="s">
        <v>1103</v>
      </c>
      <c r="D759" s="28"/>
    </row>
    <row r="760" spans="1:4" ht="12.75" customHeight="1" x14ac:dyDescent="0.35">
      <c r="A760" s="28"/>
      <c r="B760" s="28"/>
      <c r="C760" s="103" t="s">
        <v>1161</v>
      </c>
      <c r="D760" s="28"/>
    </row>
    <row r="761" spans="1:4" ht="12.75" customHeight="1" x14ac:dyDescent="0.35">
      <c r="A761" s="28"/>
      <c r="B761" s="28"/>
      <c r="C761" s="103" t="s">
        <v>1163</v>
      </c>
      <c r="D761" s="28"/>
    </row>
    <row r="762" spans="1:4" ht="12.75" customHeight="1" x14ac:dyDescent="0.35">
      <c r="A762" s="28"/>
      <c r="B762" s="28"/>
      <c r="C762" s="103" t="s">
        <v>1161</v>
      </c>
      <c r="D762" s="28"/>
    </row>
    <row r="763" spans="1:4" ht="12.75" customHeight="1" x14ac:dyDescent="0.35">
      <c r="A763" s="28"/>
      <c r="B763" s="28"/>
      <c r="C763" s="103" t="s">
        <v>1103</v>
      </c>
      <c r="D763" s="28"/>
    </row>
    <row r="764" spans="1:4" ht="12.75" customHeight="1" x14ac:dyDescent="0.35">
      <c r="A764" s="28"/>
      <c r="B764" s="28"/>
      <c r="C764" s="103" t="s">
        <v>1167</v>
      </c>
      <c r="D764" s="28"/>
    </row>
    <row r="765" spans="1:4" ht="12.75" customHeight="1" x14ac:dyDescent="0.35">
      <c r="A765" s="28"/>
      <c r="B765" s="28"/>
      <c r="C765" s="103" t="s">
        <v>1169</v>
      </c>
      <c r="D765" s="28"/>
    </row>
    <row r="766" spans="1:4" ht="12.75" customHeight="1" x14ac:dyDescent="0.35">
      <c r="A766" s="28"/>
      <c r="B766" s="28"/>
      <c r="C766" s="103" t="s">
        <v>1167</v>
      </c>
      <c r="D766" s="28"/>
    </row>
    <row r="767" spans="1:4" ht="12.75" customHeight="1" x14ac:dyDescent="0.35">
      <c r="A767" s="28"/>
      <c r="B767" s="28"/>
      <c r="C767" s="103" t="s">
        <v>1103</v>
      </c>
      <c r="D767" s="28"/>
    </row>
    <row r="768" spans="1:4" ht="12.75" customHeight="1" x14ac:dyDescent="0.35">
      <c r="A768" s="28"/>
      <c r="B768" s="28"/>
      <c r="C768" s="103" t="s">
        <v>1173</v>
      </c>
      <c r="D768" s="28"/>
    </row>
    <row r="769" spans="1:4" ht="12.75" customHeight="1" x14ac:dyDescent="0.35">
      <c r="A769" s="28"/>
      <c r="B769" s="28"/>
      <c r="C769" s="103" t="s">
        <v>1175</v>
      </c>
      <c r="D769" s="28"/>
    </row>
    <row r="770" spans="1:4" ht="12.75" customHeight="1" x14ac:dyDescent="0.35">
      <c r="A770" s="28"/>
      <c r="B770" s="28"/>
      <c r="C770" s="103" t="s">
        <v>1173</v>
      </c>
      <c r="D770" s="28"/>
    </row>
    <row r="771" spans="1:4" ht="12.75" customHeight="1" x14ac:dyDescent="0.35">
      <c r="A771" s="28"/>
      <c r="B771" s="28"/>
      <c r="C771" s="103" t="s">
        <v>1103</v>
      </c>
      <c r="D771" s="28"/>
    </row>
    <row r="772" spans="1:4" ht="12.75" customHeight="1" x14ac:dyDescent="0.35">
      <c r="A772" s="28"/>
      <c r="B772" s="28"/>
      <c r="C772" s="1287" t="str">
        <f>"Total "&amp;LOWER(B716)</f>
        <v>Total fixed assets and other non-current assets</v>
      </c>
      <c r="D772" s="28"/>
    </row>
    <row r="773" spans="1:4" ht="12.75" customHeight="1" x14ac:dyDescent="0.35">
      <c r="A773" s="28"/>
      <c r="B773" s="28" t="s">
        <v>1180</v>
      </c>
      <c r="C773" s="28"/>
      <c r="D773" s="28"/>
    </row>
    <row r="774" spans="1:4" ht="12.75" customHeight="1" x14ac:dyDescent="0.35">
      <c r="A774" s="28"/>
      <c r="B774" s="28"/>
      <c r="C774" s="28" t="s">
        <v>1182</v>
      </c>
      <c r="D774" s="28"/>
    </row>
    <row r="775" spans="1:4" ht="12.75" customHeight="1" x14ac:dyDescent="0.35">
      <c r="A775" s="28"/>
      <c r="B775" s="28"/>
      <c r="C775" s="28" t="s">
        <v>948</v>
      </c>
      <c r="D775" s="28"/>
    </row>
    <row r="776" spans="1:4" ht="12.75" customHeight="1" x14ac:dyDescent="0.35">
      <c r="A776" s="28"/>
      <c r="B776" s="28"/>
      <c r="C776" s="1250" t="s">
        <v>5612</v>
      </c>
      <c r="D776" s="28"/>
    </row>
    <row r="777" spans="1:4" ht="12.75" customHeight="1" x14ac:dyDescent="0.35">
      <c r="A777" s="28"/>
      <c r="B777" s="28"/>
      <c r="C777" s="28" t="s">
        <v>952</v>
      </c>
      <c r="D777" s="28"/>
    </row>
    <row r="778" spans="1:4" ht="12.75" customHeight="1" x14ac:dyDescent="0.35">
      <c r="A778" s="28"/>
      <c r="B778" s="28"/>
      <c r="C778" s="1250" t="s">
        <v>5621</v>
      </c>
      <c r="D778" s="28"/>
    </row>
    <row r="779" spans="1:4" ht="12.75" customHeight="1" x14ac:dyDescent="0.35">
      <c r="A779" s="28"/>
      <c r="B779" s="28"/>
      <c r="C779" s="28" t="s">
        <v>1186</v>
      </c>
      <c r="D779" s="28"/>
    </row>
    <row r="780" spans="1:4" ht="12.75" customHeight="1" x14ac:dyDescent="0.35">
      <c r="A780" s="28"/>
      <c r="B780" s="28"/>
      <c r="C780" s="28" t="s">
        <v>2001</v>
      </c>
      <c r="D780" s="28"/>
    </row>
    <row r="781" spans="1:4" ht="12.75" customHeight="1" x14ac:dyDescent="0.35">
      <c r="A781" s="28"/>
      <c r="B781" s="28" t="s">
        <v>1091</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1203</v>
      </c>
      <c r="C794" s="28"/>
      <c r="D794" s="28"/>
    </row>
    <row r="795" spans="1:4" ht="12.75" customHeight="1" x14ac:dyDescent="0.35">
      <c r="A795" s="28"/>
      <c r="B795" s="28" t="s">
        <v>1205</v>
      </c>
      <c r="C795" s="28"/>
      <c r="D795" s="28"/>
    </row>
    <row r="796" spans="1:4" ht="12.75" customHeight="1" x14ac:dyDescent="0.35">
      <c r="A796" s="28"/>
      <c r="B796" s="28" t="s">
        <v>1207</v>
      </c>
      <c r="C796" s="28"/>
      <c r="D796" s="28"/>
    </row>
    <row r="797" spans="1:4" ht="12.75" customHeight="1" x14ac:dyDescent="0.35">
      <c r="A797" s="28"/>
      <c r="B797" s="28"/>
      <c r="C797" s="28"/>
      <c r="D797" s="28"/>
    </row>
    <row r="798" spans="1:4" ht="12.75" customHeight="1" x14ac:dyDescent="0.35">
      <c r="A798" s="28"/>
      <c r="B798" s="28" t="s">
        <v>1209</v>
      </c>
      <c r="C798" s="28"/>
      <c r="D798" s="28"/>
    </row>
    <row r="799" spans="1:4" ht="12.75" customHeight="1" x14ac:dyDescent="0.35">
      <c r="A799" s="28"/>
      <c r="B799" s="28" t="s">
        <v>1211</v>
      </c>
      <c r="C799" s="28"/>
      <c r="D799" s="28"/>
    </row>
    <row r="800" spans="1:4" ht="12.75" customHeight="1" x14ac:dyDescent="0.35">
      <c r="A800" s="28"/>
      <c r="B800" s="28"/>
      <c r="C800" s="28" t="s">
        <v>677</v>
      </c>
      <c r="D800" s="28"/>
    </row>
    <row r="801" spans="1:4" ht="12.75" customHeight="1" x14ac:dyDescent="0.35">
      <c r="A801" s="28"/>
      <c r="B801" s="28"/>
      <c r="C801" s="28" t="s">
        <v>680</v>
      </c>
      <c r="D801" s="28"/>
    </row>
    <row r="802" spans="1:4" ht="12.75" customHeight="1" x14ac:dyDescent="0.35">
      <c r="A802" s="28"/>
      <c r="B802" s="28"/>
      <c r="C802" s="28" t="s">
        <v>682</v>
      </c>
      <c r="D802" s="28"/>
    </row>
    <row r="803" spans="1:4" ht="12.75" customHeight="1" x14ac:dyDescent="0.35">
      <c r="A803" s="28"/>
      <c r="B803" s="28"/>
      <c r="C803" s="28" t="s">
        <v>684</v>
      </c>
      <c r="D803" s="28"/>
    </row>
    <row r="804" spans="1:4" ht="12.75" customHeight="1" x14ac:dyDescent="0.35">
      <c r="A804" s="28"/>
      <c r="B804" s="28"/>
      <c r="C804" s="28" t="s">
        <v>686</v>
      </c>
      <c r="D804" s="28"/>
    </row>
    <row r="805" spans="1:4" ht="12.75" customHeight="1" x14ac:dyDescent="0.35">
      <c r="A805" s="28"/>
      <c r="B805" s="28"/>
      <c r="C805" s="28" t="s">
        <v>1218</v>
      </c>
      <c r="D805" s="28"/>
    </row>
    <row r="806" spans="1:4" ht="12.75" customHeight="1" x14ac:dyDescent="0.35">
      <c r="A806" s="28"/>
      <c r="B806" s="28" t="s">
        <v>1220</v>
      </c>
      <c r="C806" s="28"/>
      <c r="D806" s="28"/>
    </row>
    <row r="807" spans="1:4" ht="12.75" customHeight="1" x14ac:dyDescent="0.35">
      <c r="A807" s="28"/>
      <c r="B807" s="105" t="s">
        <v>1222</v>
      </c>
      <c r="C807" s="28"/>
      <c r="D807" s="28"/>
    </row>
    <row r="808" spans="1:4" ht="12.75" customHeight="1" x14ac:dyDescent="0.35">
      <c r="A808" s="28"/>
      <c r="B808" s="28" t="s">
        <v>885</v>
      </c>
      <c r="C808" s="28"/>
      <c r="D808" s="28"/>
    </row>
    <row r="809" spans="1:4" ht="12.75" customHeight="1" x14ac:dyDescent="0.35">
      <c r="A809" s="28"/>
      <c r="B809" s="28" t="s">
        <v>1225</v>
      </c>
      <c r="C809" s="28"/>
      <c r="D809" s="28"/>
    </row>
    <row r="810" spans="1:4" ht="12.75" customHeight="1" x14ac:dyDescent="0.35">
      <c r="A810" s="28"/>
      <c r="B810" s="28"/>
      <c r="C810" s="28" t="s">
        <v>1227</v>
      </c>
      <c r="D810" s="28"/>
    </row>
    <row r="811" spans="1:4" ht="12.75" customHeight="1" x14ac:dyDescent="0.35">
      <c r="A811" s="28"/>
      <c r="B811" s="28"/>
      <c r="C811" s="28" t="s">
        <v>1229</v>
      </c>
      <c r="D811" s="28"/>
    </row>
    <row r="812" spans="1:4" ht="12.75" customHeight="1" x14ac:dyDescent="0.35">
      <c r="A812" s="28"/>
      <c r="B812" s="28"/>
      <c r="C812" s="1250" t="s">
        <v>5659</v>
      </c>
      <c r="D812" s="28"/>
    </row>
    <row r="813" spans="1:4" ht="12.75" customHeight="1" x14ac:dyDescent="0.35">
      <c r="A813" s="28"/>
      <c r="B813" s="28"/>
      <c r="C813" s="28" t="s">
        <v>1231</v>
      </c>
      <c r="D813" s="28"/>
    </row>
    <row r="814" spans="1:4" ht="12.75" customHeight="1" x14ac:dyDescent="0.35">
      <c r="A814" s="28"/>
      <c r="B814" s="28"/>
      <c r="C814" s="101" t="s">
        <v>1233</v>
      </c>
      <c r="D814" s="28"/>
    </row>
    <row r="815" spans="1:4" ht="12.75" customHeight="1" x14ac:dyDescent="0.35">
      <c r="A815" s="28"/>
      <c r="B815" s="28"/>
      <c r="C815" s="28" t="s">
        <v>57</v>
      </c>
      <c r="D815" s="28"/>
    </row>
    <row r="816" spans="1:4" ht="12.75" customHeight="1" x14ac:dyDescent="0.35">
      <c r="A816" s="28"/>
      <c r="B816" s="28"/>
      <c r="C816" s="28" t="s">
        <v>1237</v>
      </c>
      <c r="D816" s="28"/>
    </row>
    <row r="817" spans="1:4" ht="12.75" customHeight="1" x14ac:dyDescent="0.35">
      <c r="A817" s="28"/>
      <c r="B817" s="28"/>
      <c r="C817" s="28" t="s">
        <v>1239</v>
      </c>
      <c r="D817" s="28"/>
    </row>
    <row r="818" spans="1:4" ht="12.75" customHeight="1" x14ac:dyDescent="0.35">
      <c r="A818" s="28"/>
      <c r="B818" s="28"/>
      <c r="C818" s="28" t="s">
        <v>1241</v>
      </c>
      <c r="D818" s="28"/>
    </row>
    <row r="819" spans="1:4" ht="12.75" customHeight="1" x14ac:dyDescent="0.35">
      <c r="A819" s="28"/>
      <c r="B819" s="28"/>
      <c r="C819" s="28" t="s">
        <v>1243</v>
      </c>
      <c r="D819" s="28"/>
    </row>
    <row r="820" spans="1:4" ht="12.75" customHeight="1" x14ac:dyDescent="0.35">
      <c r="A820" s="28"/>
      <c r="B820" s="28"/>
      <c r="C820" s="28" t="s">
        <v>1245</v>
      </c>
      <c r="D820" s="28"/>
    </row>
    <row r="821" spans="1:4" ht="12.75" customHeight="1" x14ac:dyDescent="0.35">
      <c r="A821" s="28"/>
      <c r="B821" s="28"/>
      <c r="C821" s="28" t="s">
        <v>971</v>
      </c>
      <c r="D821" s="28"/>
    </row>
    <row r="822" spans="1:4" ht="12.75" customHeight="1" x14ac:dyDescent="0.35">
      <c r="A822" s="28"/>
      <c r="B822" s="28"/>
      <c r="C822" s="1250" t="s">
        <v>5632</v>
      </c>
      <c r="D822" s="28"/>
    </row>
    <row r="823" spans="1:4" ht="12.75" customHeight="1" x14ac:dyDescent="0.35">
      <c r="A823" s="28"/>
      <c r="B823" s="28"/>
      <c r="C823" s="28" t="s">
        <v>1248</v>
      </c>
      <c r="D823" s="28"/>
    </row>
    <row r="824" spans="1:4" ht="12.75" customHeight="1" x14ac:dyDescent="0.35">
      <c r="A824" s="28"/>
      <c r="B824" s="28"/>
      <c r="C824" s="1250" t="s">
        <v>5667</v>
      </c>
      <c r="D824" s="28"/>
    </row>
    <row r="825" spans="1:4" ht="12.75" customHeight="1" x14ac:dyDescent="0.35">
      <c r="A825" s="28"/>
      <c r="B825" s="28"/>
      <c r="C825" s="28" t="s">
        <v>1250</v>
      </c>
      <c r="D825" s="28"/>
    </row>
    <row r="826" spans="1:4" ht="12.75" customHeight="1" x14ac:dyDescent="0.35">
      <c r="A826" s="28"/>
      <c r="B826" s="28"/>
      <c r="C826" s="28" t="s">
        <v>1252</v>
      </c>
      <c r="D826" s="28"/>
    </row>
    <row r="827" spans="1:4" ht="12.75" customHeight="1" x14ac:dyDescent="0.35">
      <c r="A827" s="28"/>
      <c r="B827" s="28"/>
      <c r="C827" s="28" t="s">
        <v>1254</v>
      </c>
      <c r="D827" s="28"/>
    </row>
    <row r="828" spans="1:4" ht="12.75" customHeight="1" x14ac:dyDescent="0.35">
      <c r="A828" s="28"/>
      <c r="B828" s="28" t="s">
        <v>1209</v>
      </c>
      <c r="C828" s="28"/>
      <c r="D828" s="28"/>
    </row>
    <row r="829" spans="1:4" ht="12.75" customHeight="1" x14ac:dyDescent="0.35">
      <c r="A829" s="28"/>
      <c r="B829" s="28" t="s">
        <v>1257</v>
      </c>
      <c r="C829" s="28"/>
      <c r="D829" s="28"/>
    </row>
    <row r="830" spans="1:4" ht="12.75" customHeight="1" x14ac:dyDescent="0.35">
      <c r="A830" s="28"/>
      <c r="B830" s="28" t="s">
        <v>788</v>
      </c>
      <c r="C830" s="28"/>
      <c r="D830" s="28"/>
    </row>
    <row r="831" spans="1:4" ht="12.75" customHeight="1" x14ac:dyDescent="0.35">
      <c r="A831" s="28"/>
      <c r="B831" s="28" t="s">
        <v>885</v>
      </c>
      <c r="C831" s="28"/>
      <c r="D831" s="28"/>
    </row>
    <row r="832" spans="1:4" ht="12.75" customHeight="1" x14ac:dyDescent="0.35">
      <c r="A832" s="28"/>
      <c r="B832" s="28" t="s">
        <v>692</v>
      </c>
      <c r="C832" s="28"/>
      <c r="D832" s="28"/>
    </row>
    <row r="833" spans="1:4" ht="12.75" customHeight="1" x14ac:dyDescent="0.35">
      <c r="A833" s="28"/>
      <c r="B833" s="28" t="s">
        <v>1229</v>
      </c>
      <c r="C833" s="28"/>
      <c r="D833" s="28"/>
    </row>
    <row r="834" spans="1:4" ht="12.75" customHeight="1" x14ac:dyDescent="0.35">
      <c r="A834" s="28"/>
      <c r="B834" s="28" t="s">
        <v>1239</v>
      </c>
      <c r="C834" s="28"/>
      <c r="D834" s="28"/>
    </row>
    <row r="835" spans="1:4" ht="12.75" customHeight="1" x14ac:dyDescent="0.35">
      <c r="A835" s="28"/>
      <c r="B835" s="28" t="s">
        <v>1264</v>
      </c>
      <c r="C835" s="28"/>
      <c r="D835" s="28"/>
    </row>
    <row r="836" spans="1:4" ht="12.75" customHeight="1" x14ac:dyDescent="0.35">
      <c r="A836" s="28"/>
      <c r="B836" s="28" t="s">
        <v>1266</v>
      </c>
      <c r="C836" s="28"/>
      <c r="D836" s="28"/>
    </row>
    <row r="837" spans="1:4" ht="12.75" customHeight="1" x14ac:dyDescent="0.35">
      <c r="A837" s="28"/>
      <c r="B837" s="28"/>
      <c r="C837" s="28"/>
      <c r="D837" s="28"/>
    </row>
    <row r="838" spans="1:4" ht="12.75" customHeight="1" x14ac:dyDescent="0.35">
      <c r="A838" s="28"/>
      <c r="B838" s="28" t="s">
        <v>1268</v>
      </c>
      <c r="C838" s="28"/>
      <c r="D838" s="28"/>
    </row>
    <row r="839" spans="1:4" ht="12.75" customHeight="1" x14ac:dyDescent="0.35">
      <c r="A839" s="28"/>
      <c r="B839" s="28" t="s">
        <v>1270</v>
      </c>
      <c r="C839" s="28"/>
      <c r="D839" s="28"/>
    </row>
    <row r="840" spans="1:4" ht="12.75" customHeight="1" x14ac:dyDescent="0.35">
      <c r="A840" s="28"/>
      <c r="B840" s="28" t="s">
        <v>1038</v>
      </c>
      <c r="C840" s="28"/>
      <c r="D840" s="28"/>
    </row>
    <row r="841" spans="1:4" ht="12.75" customHeight="1" x14ac:dyDescent="0.35">
      <c r="A841" s="28"/>
      <c r="B841" s="28" t="s">
        <v>1273</v>
      </c>
      <c r="C841" s="28"/>
      <c r="D841" s="28"/>
    </row>
    <row r="842" spans="1:4" ht="12.75" customHeight="1" x14ac:dyDescent="0.35"/>
    <row r="843" spans="1:4" ht="12.75" customHeight="1" x14ac:dyDescent="0.35"/>
    <row r="844" spans="1:4" ht="12.75" customHeight="1" x14ac:dyDescent="0.35"/>
    <row r="845" spans="1:4" ht="12.75" customHeight="1" x14ac:dyDescent="0.35">
      <c r="B845" s="97" t="s">
        <v>1278</v>
      </c>
    </row>
    <row r="846" spans="1:4" ht="12.75" customHeight="1" x14ac:dyDescent="0.35"/>
    <row r="847" spans="1:4" ht="12.75" customHeight="1" x14ac:dyDescent="0.35">
      <c r="B847" s="28" t="s">
        <v>59</v>
      </c>
    </row>
  </sheetData>
  <printOptions gridLines="1"/>
  <pageMargins left="0.75" right="0.75" top="1" bottom="1" header="0.5" footer="0.5"/>
  <pageSetup paperSize="9" orientation="portrait" r:id="rId1"/>
  <headerFooter>
    <oddHeader>&amp;C&amp;A</oddHeader>
    <oddFooter>&amp;CPage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autoPageBreaks="0"/>
  </sheetPr>
  <dimension ref="A1:D847"/>
  <sheetViews>
    <sheetView topLeftCell="A432" workbookViewId="0">
      <selection activeCell="C474" sqref="C474"/>
    </sheetView>
  </sheetViews>
  <sheetFormatPr defaultColWidth="9.1796875" defaultRowHeight="14.5" x14ac:dyDescent="0.35"/>
  <cols>
    <col min="1" max="1" width="0.81640625" style="97" customWidth="1"/>
    <col min="2" max="16384" width="9.1796875" style="97"/>
  </cols>
  <sheetData>
    <row r="1" spans="1:4" ht="12.75" customHeight="1" x14ac:dyDescent="0.35">
      <c r="A1" s="28"/>
      <c r="B1" s="28" t="s">
        <v>2825</v>
      </c>
      <c r="C1" s="28"/>
      <c r="D1" s="28"/>
    </row>
    <row r="2" spans="1:4" ht="12.75" customHeight="1" x14ac:dyDescent="0.35">
      <c r="A2" s="28"/>
      <c r="B2" s="28" t="s">
        <v>2826</v>
      </c>
      <c r="C2" s="28"/>
      <c r="D2" s="28"/>
    </row>
    <row r="3" spans="1:4" ht="12.75" customHeight="1" x14ac:dyDescent="0.35">
      <c r="A3" s="28"/>
      <c r="B3" s="28" t="s">
        <v>2827</v>
      </c>
      <c r="C3" s="28"/>
      <c r="D3" s="28"/>
    </row>
    <row r="4" spans="1:4" ht="12.75" customHeight="1" x14ac:dyDescent="0.35">
      <c r="A4" s="28"/>
      <c r="B4" s="28" t="s">
        <v>2828</v>
      </c>
      <c r="C4" s="28"/>
      <c r="D4" s="28"/>
    </row>
    <row r="5" spans="1:4" ht="12.75" customHeight="1" x14ac:dyDescent="0.35">
      <c r="A5" s="28"/>
      <c r="B5" s="28" t="s">
        <v>2829</v>
      </c>
      <c r="C5" s="28"/>
      <c r="D5" s="28"/>
    </row>
    <row r="6" spans="1:4" ht="12.75" customHeight="1" x14ac:dyDescent="0.35">
      <c r="A6" s="28"/>
      <c r="B6" s="28" t="s">
        <v>2830</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2831</v>
      </c>
      <c r="C11" s="28"/>
      <c r="D11" s="28"/>
    </row>
    <row r="12" spans="1:4" ht="12.75" customHeight="1" x14ac:dyDescent="0.35">
      <c r="A12" s="28"/>
      <c r="B12" s="28" t="s">
        <v>2832</v>
      </c>
      <c r="C12" s="28"/>
      <c r="D12" s="28"/>
    </row>
    <row r="13" spans="1:4" ht="12.75" customHeight="1" x14ac:dyDescent="0.35">
      <c r="A13" s="28"/>
      <c r="B13" s="28" t="s">
        <v>2833</v>
      </c>
      <c r="C13" s="28"/>
      <c r="D13" s="28"/>
    </row>
    <row r="14" spans="1:4" ht="12.75" customHeight="1" x14ac:dyDescent="0.35">
      <c r="A14" s="28"/>
      <c r="B14" s="28"/>
      <c r="C14" s="28"/>
      <c r="D14" s="28"/>
    </row>
    <row r="15" spans="1:4" ht="12.75" customHeight="1" x14ac:dyDescent="0.35">
      <c r="A15" s="28"/>
      <c r="B15" s="28" t="s">
        <v>2834</v>
      </c>
      <c r="C15" s="28"/>
      <c r="D15" s="28"/>
    </row>
    <row r="16" spans="1:4" ht="12.75" customHeight="1" x14ac:dyDescent="0.35">
      <c r="A16" s="28"/>
      <c r="B16" s="28"/>
      <c r="C16" s="28"/>
      <c r="D16" s="28"/>
    </row>
    <row r="17" spans="1:4" ht="12.75" customHeight="1" x14ac:dyDescent="0.35">
      <c r="A17" s="28"/>
      <c r="B17" s="28" t="s">
        <v>2832</v>
      </c>
      <c r="C17" s="28"/>
      <c r="D17" s="28" t="s">
        <v>2836</v>
      </c>
    </row>
    <row r="18" spans="1:4" ht="12.75" customHeight="1" x14ac:dyDescent="0.35">
      <c r="A18" s="28"/>
      <c r="B18" s="28"/>
      <c r="C18" s="28"/>
      <c r="D18" s="28"/>
    </row>
    <row r="19" spans="1:4" ht="12.75" customHeight="1" x14ac:dyDescent="0.35">
      <c r="A19" s="28"/>
      <c r="B19" s="28"/>
      <c r="C19" s="1377" t="s">
        <v>6293</v>
      </c>
      <c r="D19" s="28"/>
    </row>
    <row r="20" spans="1:4" ht="12.75" customHeight="1" x14ac:dyDescent="0.35">
      <c r="A20" s="28"/>
      <c r="B20" s="28" t="s">
        <v>6248</v>
      </c>
      <c r="C20" s="28"/>
      <c r="D20" s="28"/>
    </row>
    <row r="21" spans="1:4" ht="12.75" customHeight="1" x14ac:dyDescent="0.35">
      <c r="A21" s="28"/>
      <c r="B21" s="28"/>
      <c r="C21" s="28" t="s">
        <v>2838</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t="s">
        <v>2837</v>
      </c>
      <c r="C24" s="28"/>
      <c r="D24" s="28"/>
    </row>
    <row r="25" spans="1:4" ht="12.75" customHeight="1" x14ac:dyDescent="0.35">
      <c r="A25" s="28"/>
      <c r="B25" s="28"/>
      <c r="C25" s="104" t="s">
        <v>2839</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1377" t="s">
        <v>6299</v>
      </c>
      <c r="D29" s="28"/>
    </row>
    <row r="30" spans="1:4" ht="12.75" customHeight="1" x14ac:dyDescent="0.35">
      <c r="A30" s="28"/>
      <c r="B30" s="28" t="s">
        <v>2837</v>
      </c>
      <c r="C30" s="28"/>
      <c r="D30" s="28"/>
    </row>
    <row r="31" spans="1:4" ht="12.75" customHeight="1" x14ac:dyDescent="0.35">
      <c r="A31" s="28"/>
      <c r="B31" s="28"/>
      <c r="C31" s="28" t="s">
        <v>2838</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t="s">
        <v>2837</v>
      </c>
      <c r="C34" s="28"/>
      <c r="D34" s="28"/>
    </row>
    <row r="35" spans="1:4" ht="12.75" customHeight="1" x14ac:dyDescent="0.35">
      <c r="A35" s="28"/>
      <c r="B35" s="28"/>
      <c r="C35" s="104" t="s">
        <v>2839</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1377" t="s">
        <v>6300</v>
      </c>
      <c r="D39" s="28"/>
    </row>
    <row r="40" spans="1:4" ht="12.75" customHeight="1" x14ac:dyDescent="0.35">
      <c r="A40" s="28"/>
      <c r="B40" s="28" t="s">
        <v>2837</v>
      </c>
      <c r="C40" s="28"/>
      <c r="D40" s="28"/>
    </row>
    <row r="41" spans="1:4" ht="12.75" customHeight="1" x14ac:dyDescent="0.35">
      <c r="A41" s="28"/>
      <c r="B41" s="28"/>
      <c r="C41" s="28" t="s">
        <v>2838</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t="s">
        <v>2837</v>
      </c>
      <c r="C44" s="28"/>
      <c r="D44" s="28"/>
    </row>
    <row r="45" spans="1:4" ht="12.75" customHeight="1" x14ac:dyDescent="0.35">
      <c r="A45" s="28"/>
      <c r="B45" s="28"/>
      <c r="C45" s="104" t="s">
        <v>2839</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t="s">
        <v>2837</v>
      </c>
      <c r="C50" s="28"/>
      <c r="D50" s="28"/>
    </row>
    <row r="51" spans="1:4" ht="12.75" customHeight="1" x14ac:dyDescent="0.35">
      <c r="A51" s="28"/>
      <c r="B51" s="28"/>
      <c r="C51" s="28" t="s">
        <v>2838</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t="s">
        <v>2837</v>
      </c>
      <c r="C54" s="28"/>
      <c r="D54" s="28"/>
    </row>
    <row r="55" spans="1:4" ht="12.75" customHeight="1" x14ac:dyDescent="0.35">
      <c r="A55" s="28"/>
      <c r="B55" s="28"/>
      <c r="C55" s="104" t="s">
        <v>2839</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t="s">
        <v>2837</v>
      </c>
      <c r="C60" s="28"/>
      <c r="D60" s="28"/>
    </row>
    <row r="61" spans="1:4" ht="12.75" customHeight="1" x14ac:dyDescent="0.35">
      <c r="A61" s="28"/>
      <c r="B61" s="28"/>
      <c r="C61" s="28" t="s">
        <v>2838</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t="s">
        <v>2837</v>
      </c>
      <c r="C64" s="28"/>
      <c r="D64" s="28"/>
    </row>
    <row r="65" spans="1:4" ht="12.75" customHeight="1" x14ac:dyDescent="0.35">
      <c r="A65" s="28"/>
      <c r="B65" s="28"/>
      <c r="C65" s="104" t="s">
        <v>2839</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t="s">
        <v>2837</v>
      </c>
      <c r="C70" s="28"/>
      <c r="D70" s="28"/>
    </row>
    <row r="71" spans="1:4" ht="12.75" customHeight="1" x14ac:dyDescent="0.35">
      <c r="A71" s="28"/>
      <c r="B71" s="28"/>
      <c r="C71" s="28" t="s">
        <v>2838</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28" t="s">
        <v>2837</v>
      </c>
      <c r="C74" s="28"/>
      <c r="D74" s="28"/>
    </row>
    <row r="75" spans="1:4" ht="12.75" customHeight="1" x14ac:dyDescent="0.35">
      <c r="A75" s="28"/>
      <c r="B75" s="28"/>
      <c r="C75" s="104" t="s">
        <v>2839</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t="s">
        <v>2837</v>
      </c>
      <c r="C80" s="28"/>
      <c r="D80" s="28"/>
    </row>
    <row r="81" spans="1:4" ht="12.75" customHeight="1" x14ac:dyDescent="0.35">
      <c r="A81" s="28"/>
      <c r="B81" s="28"/>
      <c r="C81" s="28" t="s">
        <v>2838</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t="s">
        <v>2837</v>
      </c>
      <c r="C84" s="28"/>
      <c r="D84" s="28"/>
    </row>
    <row r="85" spans="1:4" ht="12.75" customHeight="1" x14ac:dyDescent="0.35">
      <c r="A85" s="28"/>
      <c r="B85" s="28"/>
      <c r="C85" s="104" t="s">
        <v>2839</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t="s">
        <v>2837</v>
      </c>
      <c r="C90" s="28"/>
      <c r="D90" s="28"/>
    </row>
    <row r="91" spans="1:4" ht="12.75" customHeight="1" x14ac:dyDescent="0.35">
      <c r="A91" s="28"/>
      <c r="B91" s="28"/>
      <c r="C91" s="28" t="s">
        <v>2838</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t="s">
        <v>2837</v>
      </c>
      <c r="C94" s="28"/>
      <c r="D94" s="28"/>
    </row>
    <row r="95" spans="1:4" ht="12.75" customHeight="1" x14ac:dyDescent="0.35">
      <c r="A95" s="28"/>
      <c r="B95" s="28"/>
      <c r="C95" s="104" t="s">
        <v>2839</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t="s">
        <v>2837</v>
      </c>
      <c r="C100" s="28"/>
      <c r="D100" s="28"/>
    </row>
    <row r="101" spans="1:4" ht="12.75" customHeight="1" x14ac:dyDescent="0.35">
      <c r="A101" s="28"/>
      <c r="B101" s="28"/>
      <c r="C101" s="28" t="s">
        <v>2838</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t="s">
        <v>2837</v>
      </c>
      <c r="C104" s="28"/>
      <c r="D104" s="28"/>
    </row>
    <row r="105" spans="1:4" ht="12.75" customHeight="1" x14ac:dyDescent="0.35">
      <c r="A105" s="28"/>
      <c r="B105" s="28"/>
      <c r="C105" s="104" t="s">
        <v>2839</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t="s">
        <v>2837</v>
      </c>
      <c r="C110" s="28"/>
      <c r="D110" s="28"/>
    </row>
    <row r="111" spans="1:4" ht="12.75" customHeight="1" x14ac:dyDescent="0.35">
      <c r="A111" s="28"/>
      <c r="B111" s="28"/>
      <c r="C111" s="28" t="s">
        <v>2838</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t="s">
        <v>2837</v>
      </c>
      <c r="C114" s="28"/>
      <c r="D114" s="28"/>
    </row>
    <row r="115" spans="1:4" ht="12.75" customHeight="1" x14ac:dyDescent="0.35">
      <c r="A115" s="28"/>
      <c r="B115" s="28"/>
      <c r="C115" s="104" t="s">
        <v>2839</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t="s">
        <v>2837</v>
      </c>
      <c r="C120" s="28"/>
      <c r="D120" s="28"/>
    </row>
    <row r="121" spans="1:4" ht="12.75" customHeight="1" x14ac:dyDescent="0.35">
      <c r="A121" s="28"/>
      <c r="B121" s="28"/>
      <c r="C121" s="28" t="s">
        <v>2838</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t="s">
        <v>2837</v>
      </c>
      <c r="C124" s="28"/>
      <c r="D124" s="28"/>
    </row>
    <row r="125" spans="1:4" ht="12.75" customHeight="1" x14ac:dyDescent="0.35">
      <c r="A125" s="28"/>
      <c r="B125" s="28"/>
      <c r="C125" s="104" t="s">
        <v>2839</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t="s">
        <v>2837</v>
      </c>
      <c r="C130" s="28"/>
      <c r="D130" s="28"/>
    </row>
    <row r="131" spans="1:4" ht="12.75" customHeight="1" x14ac:dyDescent="0.35">
      <c r="A131" s="28"/>
      <c r="B131" s="28"/>
      <c r="C131" s="28" t="s">
        <v>2838</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t="s">
        <v>2837</v>
      </c>
      <c r="C134" s="28"/>
      <c r="D134" s="28"/>
    </row>
    <row r="135" spans="1:4" ht="12.75" customHeight="1" x14ac:dyDescent="0.35">
      <c r="A135" s="28"/>
      <c r="B135" s="28"/>
      <c r="C135" s="104" t="s">
        <v>2839</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t="s">
        <v>2837</v>
      </c>
      <c r="C140" s="28"/>
      <c r="D140" s="28"/>
    </row>
    <row r="141" spans="1:4" ht="12.75" customHeight="1" x14ac:dyDescent="0.35">
      <c r="A141" s="28"/>
      <c r="B141" s="28"/>
      <c r="C141" s="28" t="s">
        <v>2838</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t="s">
        <v>2837</v>
      </c>
      <c r="C144" s="28"/>
      <c r="D144" s="28"/>
    </row>
    <row r="145" spans="1:4" ht="12.75" customHeight="1" x14ac:dyDescent="0.35">
      <c r="A145" s="28"/>
      <c r="B145" s="28"/>
      <c r="C145" s="104" t="s">
        <v>2839</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2837</v>
      </c>
      <c r="C150" s="28"/>
      <c r="D150" s="28"/>
    </row>
    <row r="151" spans="1:4" ht="12.75" customHeight="1" x14ac:dyDescent="0.35">
      <c r="A151" s="28"/>
      <c r="B151" s="28"/>
      <c r="C151" s="28" t="s">
        <v>2838</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t="s">
        <v>2837</v>
      </c>
      <c r="C154" s="28"/>
      <c r="D154" s="28"/>
    </row>
    <row r="155" spans="1:4" ht="12.75" customHeight="1" x14ac:dyDescent="0.35">
      <c r="A155" s="28"/>
      <c r="B155" s="28"/>
      <c r="C155" s="104" t="s">
        <v>2839</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2837</v>
      </c>
      <c r="C160" s="28"/>
      <c r="D160" s="28"/>
    </row>
    <row r="161" spans="1:4" ht="12.75" customHeight="1" x14ac:dyDescent="0.35">
      <c r="A161" s="28"/>
      <c r="B161" s="28"/>
      <c r="C161" s="28" t="s">
        <v>2838</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t="s">
        <v>2837</v>
      </c>
      <c r="C164" s="28"/>
      <c r="D164" s="28"/>
    </row>
    <row r="165" spans="1:4" ht="12.75" customHeight="1" x14ac:dyDescent="0.35">
      <c r="A165" s="28"/>
      <c r="B165" s="28"/>
      <c r="C165" s="104" t="s">
        <v>2839</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2837</v>
      </c>
      <c r="C170" s="28"/>
      <c r="D170" s="28"/>
    </row>
    <row r="171" spans="1:4" ht="12.75" customHeight="1" x14ac:dyDescent="0.35">
      <c r="A171" s="28"/>
      <c r="B171" s="28"/>
      <c r="C171" s="28" t="s">
        <v>2838</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2837</v>
      </c>
      <c r="C174" s="28"/>
      <c r="D174" s="28"/>
    </row>
    <row r="175" spans="1:4" ht="12.75" customHeight="1" x14ac:dyDescent="0.35">
      <c r="A175" s="28"/>
      <c r="B175" s="28"/>
      <c r="C175" s="104" t="s">
        <v>2839</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2837</v>
      </c>
      <c r="C180" s="28"/>
      <c r="D180" s="28"/>
    </row>
    <row r="181" spans="1:4" ht="12.75" customHeight="1" x14ac:dyDescent="0.35">
      <c r="A181" s="28"/>
      <c r="B181" s="28"/>
      <c r="C181" s="28" t="s">
        <v>2838</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2837</v>
      </c>
      <c r="C184" s="28"/>
      <c r="D184" s="28"/>
    </row>
    <row r="185" spans="1:4" ht="12.75" customHeight="1" x14ac:dyDescent="0.35">
      <c r="A185" s="28"/>
      <c r="B185" s="28"/>
      <c r="C185" s="104" t="s">
        <v>2839</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2837</v>
      </c>
      <c r="C190" s="28"/>
      <c r="D190" s="28"/>
    </row>
    <row r="191" spans="1:4" ht="12.75" customHeight="1" x14ac:dyDescent="0.35">
      <c r="A191" s="28"/>
      <c r="B191" s="28"/>
      <c r="C191" s="28" t="s">
        <v>2838</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2837</v>
      </c>
      <c r="C194" s="28"/>
      <c r="D194" s="28"/>
    </row>
    <row r="195" spans="1:4" ht="12.75" customHeight="1" x14ac:dyDescent="0.35">
      <c r="A195" s="28"/>
      <c r="B195" s="28"/>
      <c r="C195" s="104" t="s">
        <v>2839</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2837</v>
      </c>
      <c r="C200" s="28"/>
      <c r="D200" s="28"/>
    </row>
    <row r="201" spans="1:4" ht="12.75" customHeight="1" x14ac:dyDescent="0.35">
      <c r="A201" s="28"/>
      <c r="B201" s="28"/>
      <c r="C201" s="28" t="s">
        <v>2838</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28" t="s">
        <v>2837</v>
      </c>
      <c r="C204" s="28"/>
      <c r="D204" s="28"/>
    </row>
    <row r="205" spans="1:4" ht="12.75" customHeight="1" x14ac:dyDescent="0.35">
      <c r="A205" s="28"/>
      <c r="B205" s="28"/>
      <c r="C205" s="104" t="s">
        <v>2839</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2837</v>
      </c>
      <c r="C210" s="28"/>
      <c r="D210" s="28"/>
    </row>
    <row r="211" spans="1:4" ht="12.75" customHeight="1" x14ac:dyDescent="0.35">
      <c r="A211" s="28"/>
      <c r="B211" s="28"/>
      <c r="C211" s="28" t="s">
        <v>2838</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28" t="s">
        <v>2837</v>
      </c>
      <c r="C214" s="28"/>
      <c r="D214" s="28"/>
    </row>
    <row r="215" spans="1:4" ht="12.75" customHeight="1" x14ac:dyDescent="0.35">
      <c r="A215" s="28"/>
      <c r="B215" s="28"/>
      <c r="C215" s="104" t="s">
        <v>2839</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2837</v>
      </c>
      <c r="C220" s="28"/>
      <c r="D220" s="28"/>
    </row>
    <row r="221" spans="1:4" ht="12.75" customHeight="1" x14ac:dyDescent="0.35">
      <c r="A221" s="28"/>
      <c r="B221" s="28"/>
      <c r="C221" s="28" t="s">
        <v>2838</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2837</v>
      </c>
      <c r="C224" s="28"/>
      <c r="D224" s="28"/>
    </row>
    <row r="225" spans="1:4" ht="12.75" customHeight="1" x14ac:dyDescent="0.35">
      <c r="A225" s="28"/>
      <c r="B225" s="28"/>
      <c r="C225" s="104" t="s">
        <v>2839</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2837</v>
      </c>
      <c r="C230" s="28"/>
      <c r="D230" s="28"/>
    </row>
    <row r="231" spans="1:4" ht="12.75" customHeight="1" x14ac:dyDescent="0.35">
      <c r="A231" s="28"/>
      <c r="B231" s="28"/>
      <c r="C231" s="28" t="s">
        <v>2838</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2837</v>
      </c>
      <c r="C234" s="28"/>
      <c r="D234" s="28"/>
    </row>
    <row r="235" spans="1:4" ht="12.75" customHeight="1" x14ac:dyDescent="0.35">
      <c r="A235" s="28"/>
      <c r="B235" s="28"/>
      <c r="C235" s="104" t="s">
        <v>2839</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2837</v>
      </c>
      <c r="C240" s="28"/>
      <c r="D240" s="28"/>
    </row>
    <row r="241" spans="1:4" ht="12.75" customHeight="1" x14ac:dyDescent="0.35">
      <c r="A241" s="28"/>
      <c r="B241" s="28"/>
      <c r="C241" s="28" t="s">
        <v>2838</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2837</v>
      </c>
      <c r="C244" s="28"/>
      <c r="D244" s="28"/>
    </row>
    <row r="245" spans="1:4" ht="12.75" customHeight="1" x14ac:dyDescent="0.35">
      <c r="A245" s="28"/>
      <c r="B245" s="28"/>
      <c r="C245" s="104" t="s">
        <v>2839</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2837</v>
      </c>
      <c r="C250" s="28"/>
      <c r="D250" s="28"/>
    </row>
    <row r="251" spans="1:4" ht="12.75" customHeight="1" x14ac:dyDescent="0.35">
      <c r="A251" s="28"/>
      <c r="B251" s="28"/>
      <c r="C251" s="28" t="s">
        <v>2838</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2837</v>
      </c>
      <c r="C254" s="28"/>
      <c r="D254" s="28"/>
    </row>
    <row r="255" spans="1:4" ht="12.75" customHeight="1" x14ac:dyDescent="0.35">
      <c r="A255" s="28"/>
      <c r="B255" s="28"/>
      <c r="C255" s="104" t="s">
        <v>2839</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2837</v>
      </c>
      <c r="C260" s="28"/>
      <c r="D260" s="28"/>
    </row>
    <row r="261" spans="1:4" ht="12.75" customHeight="1" x14ac:dyDescent="0.35">
      <c r="A261" s="28"/>
      <c r="B261" s="28"/>
      <c r="C261" s="28" t="s">
        <v>2838</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2837</v>
      </c>
      <c r="C264" s="28"/>
      <c r="D264" s="28"/>
    </row>
    <row r="265" spans="1:4" ht="12.75" customHeight="1" x14ac:dyDescent="0.35">
      <c r="A265" s="28"/>
      <c r="B265" s="28"/>
      <c r="C265" s="104" t="s">
        <v>2839</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2837</v>
      </c>
      <c r="C270" s="28"/>
      <c r="D270" s="28"/>
    </row>
    <row r="271" spans="1:4" ht="12.75" customHeight="1" x14ac:dyDescent="0.35">
      <c r="A271" s="28"/>
      <c r="B271" s="28"/>
      <c r="C271" s="28" t="s">
        <v>2838</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2837</v>
      </c>
      <c r="C274" s="28"/>
      <c r="D274" s="28"/>
    </row>
    <row r="275" spans="1:4" ht="12.75" customHeight="1" x14ac:dyDescent="0.35">
      <c r="A275" s="28"/>
      <c r="B275" s="28"/>
      <c r="C275" s="104" t="s">
        <v>2839</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2837</v>
      </c>
      <c r="C280" s="28"/>
      <c r="D280" s="28"/>
    </row>
    <row r="281" spans="1:4" ht="12.75" customHeight="1" x14ac:dyDescent="0.35">
      <c r="A281" s="28"/>
      <c r="B281" s="28"/>
      <c r="C281" s="28" t="s">
        <v>2838</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2837</v>
      </c>
      <c r="C284" s="28"/>
      <c r="D284" s="28"/>
    </row>
    <row r="285" spans="1:4" ht="12.75" customHeight="1" x14ac:dyDescent="0.35">
      <c r="A285" s="28"/>
      <c r="B285" s="28"/>
      <c r="C285" s="104" t="s">
        <v>2839</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2837</v>
      </c>
      <c r="C290" s="28"/>
      <c r="D290" s="28"/>
    </row>
    <row r="291" spans="1:4" ht="12.75" customHeight="1" x14ac:dyDescent="0.35">
      <c r="A291" s="28"/>
      <c r="B291" s="28"/>
      <c r="C291" s="28" t="s">
        <v>2838</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2837</v>
      </c>
      <c r="C294" s="28"/>
      <c r="D294" s="28"/>
    </row>
    <row r="295" spans="1:4" ht="12.75" customHeight="1" x14ac:dyDescent="0.35">
      <c r="A295" s="28"/>
      <c r="B295" s="28"/>
      <c r="C295" s="104" t="s">
        <v>2839</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2837</v>
      </c>
      <c r="C300" s="28"/>
      <c r="D300" s="28"/>
    </row>
    <row r="301" spans="1:4" ht="12.75" customHeight="1" x14ac:dyDescent="0.35">
      <c r="A301" s="28"/>
      <c r="B301" s="28"/>
      <c r="C301" s="28" t="s">
        <v>2838</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2837</v>
      </c>
      <c r="C304" s="28"/>
      <c r="D304" s="28"/>
    </row>
    <row r="305" spans="1:4" ht="12.75" customHeight="1" x14ac:dyDescent="0.35">
      <c r="A305" s="28"/>
      <c r="B305" s="28"/>
      <c r="C305" s="104" t="s">
        <v>2839</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2837</v>
      </c>
      <c r="C310" s="28"/>
      <c r="D310" s="28"/>
    </row>
    <row r="311" spans="1:4" ht="12.75" customHeight="1" x14ac:dyDescent="0.35">
      <c r="A311" s="28"/>
      <c r="B311" s="28"/>
      <c r="C311" s="28" t="s">
        <v>2838</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2837</v>
      </c>
      <c r="C314" s="28"/>
      <c r="D314" s="28"/>
    </row>
    <row r="315" spans="1:4" ht="12.75" customHeight="1" x14ac:dyDescent="0.35">
      <c r="A315" s="28"/>
      <c r="B315" s="28"/>
      <c r="C315" s="104" t="s">
        <v>2839</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2840</v>
      </c>
      <c r="C318" s="28"/>
      <c r="D318" s="28"/>
    </row>
    <row r="319" spans="1:4" ht="12.75" customHeight="1" x14ac:dyDescent="0.35">
      <c r="A319" s="28"/>
      <c r="B319" s="28" t="s">
        <v>2841</v>
      </c>
      <c r="C319" s="28"/>
      <c r="D319" s="28"/>
    </row>
    <row r="320" spans="1:4" ht="12.75" customHeight="1" x14ac:dyDescent="0.35">
      <c r="A320" s="28"/>
      <c r="B320" s="28" t="s">
        <v>2512</v>
      </c>
      <c r="C320" s="28"/>
      <c r="D320" s="28"/>
    </row>
    <row r="321" spans="1:4" ht="12.75" customHeight="1" x14ac:dyDescent="0.35">
      <c r="A321" s="28"/>
      <c r="B321" s="28" t="s">
        <v>2842</v>
      </c>
      <c r="C321" s="28"/>
      <c r="D321" s="28"/>
    </row>
    <row r="322" spans="1:4" ht="12.75" customHeight="1" x14ac:dyDescent="0.35">
      <c r="A322" s="28"/>
      <c r="B322" s="28" t="s">
        <v>2838</v>
      </c>
      <c r="C322" s="28"/>
      <c r="D322" s="28"/>
    </row>
    <row r="323" spans="1:4" ht="12.75" customHeight="1" x14ac:dyDescent="0.35">
      <c r="A323" s="28"/>
      <c r="B323" s="28" t="s">
        <v>2843</v>
      </c>
      <c r="C323" s="28"/>
      <c r="D323" s="28"/>
    </row>
    <row r="324" spans="1:4" ht="12.75" customHeight="1" x14ac:dyDescent="0.35">
      <c r="A324" s="28"/>
      <c r="B324" s="28" t="s">
        <v>2841</v>
      </c>
      <c r="C324" s="28"/>
      <c r="D324" s="28"/>
    </row>
    <row r="325" spans="1:4" ht="12.75" customHeight="1" x14ac:dyDescent="0.35">
      <c r="A325" s="28"/>
      <c r="B325" s="28" t="s">
        <v>2835</v>
      </c>
      <c r="C325" s="28"/>
      <c r="D325" s="28"/>
    </row>
    <row r="326" spans="1:4" ht="12.75" customHeight="1" x14ac:dyDescent="0.35">
      <c r="A326" s="28"/>
      <c r="B326" s="28" t="s">
        <v>2842</v>
      </c>
      <c r="C326" s="28"/>
      <c r="D326" s="28"/>
    </row>
    <row r="327" spans="1:4" ht="12.75" customHeight="1" x14ac:dyDescent="0.35">
      <c r="A327" s="28"/>
      <c r="B327" s="28" t="s">
        <v>2839</v>
      </c>
      <c r="C327" s="28"/>
      <c r="D327" s="28"/>
    </row>
    <row r="328" spans="1:4" ht="12.75" customHeight="1" x14ac:dyDescent="0.35">
      <c r="A328" s="28"/>
      <c r="B328" s="28"/>
      <c r="C328" s="28"/>
      <c r="D328" s="28"/>
    </row>
    <row r="329" spans="1:4" ht="12.75" customHeight="1" x14ac:dyDescent="0.35">
      <c r="A329" s="28"/>
      <c r="B329" s="28" t="s">
        <v>2844</v>
      </c>
      <c r="C329" s="28"/>
      <c r="D329" s="28"/>
    </row>
    <row r="330" spans="1:4" ht="12.75" customHeight="1" x14ac:dyDescent="0.35">
      <c r="A330" s="28"/>
      <c r="B330" s="28" t="s">
        <v>2845</v>
      </c>
      <c r="C330" s="28"/>
      <c r="D330" s="28"/>
    </row>
    <row r="331" spans="1:4" ht="12.75" customHeight="1" x14ac:dyDescent="0.35">
      <c r="A331" s="28"/>
      <c r="B331" s="28" t="s">
        <v>2846</v>
      </c>
      <c r="C331" s="28"/>
      <c r="D331" s="28"/>
    </row>
    <row r="332" spans="1:4" ht="12.75" customHeight="1" x14ac:dyDescent="0.35">
      <c r="A332" s="28"/>
      <c r="B332" s="28" t="s">
        <v>2847</v>
      </c>
      <c r="C332" s="28"/>
      <c r="D332" s="28"/>
    </row>
    <row r="333" spans="1:4" ht="12.75" customHeight="1" x14ac:dyDescent="0.35">
      <c r="A333" s="28"/>
      <c r="B333" s="28" t="s">
        <v>2848</v>
      </c>
      <c r="C333" s="28"/>
      <c r="D333" s="28"/>
    </row>
    <row r="334" spans="1:4" ht="12.75" customHeight="1" x14ac:dyDescent="0.35">
      <c r="A334" s="28"/>
      <c r="B334" s="28"/>
      <c r="C334" s="28"/>
      <c r="D334" s="28"/>
    </row>
    <row r="335" spans="1:4" ht="12.75" customHeight="1" x14ac:dyDescent="0.35">
      <c r="A335" s="28"/>
      <c r="B335" s="28" t="s">
        <v>2849</v>
      </c>
      <c r="C335" s="28"/>
      <c r="D335" s="28" t="s">
        <v>2850</v>
      </c>
    </row>
    <row r="336" spans="1:4" ht="12.75" customHeight="1" x14ac:dyDescent="0.35">
      <c r="A336" s="28"/>
      <c r="B336" s="28" t="s">
        <v>2851</v>
      </c>
      <c r="C336" s="28"/>
      <c r="D336" s="28"/>
    </row>
    <row r="337" spans="1:4" ht="12.75" customHeight="1" x14ac:dyDescent="0.35">
      <c r="A337" s="28"/>
      <c r="B337" s="28" t="s">
        <v>2852</v>
      </c>
      <c r="C337" s="28"/>
      <c r="D337" s="28"/>
    </row>
    <row r="338" spans="1:4" ht="12.75" customHeight="1" x14ac:dyDescent="0.35">
      <c r="A338" s="28"/>
      <c r="B338" s="28" t="s">
        <v>2853</v>
      </c>
      <c r="C338" s="28"/>
      <c r="D338" s="28"/>
    </row>
    <row r="339" spans="1:4" ht="12.75" customHeight="1" x14ac:dyDescent="0.35">
      <c r="A339" s="28"/>
      <c r="B339" s="28" t="s">
        <v>2854</v>
      </c>
      <c r="C339" s="28"/>
      <c r="D339" s="28"/>
    </row>
    <row r="340" spans="1:4" ht="12.75" customHeight="1" x14ac:dyDescent="0.35">
      <c r="A340" s="28"/>
      <c r="B340" s="28" t="s">
        <v>2855</v>
      </c>
      <c r="C340" s="28"/>
      <c r="D340" s="28"/>
    </row>
    <row r="341" spans="1:4" ht="12.75" customHeight="1" x14ac:dyDescent="0.35">
      <c r="A341" s="28"/>
      <c r="B341" s="28" t="s">
        <v>2856</v>
      </c>
      <c r="C341" s="28"/>
      <c r="D341" s="28"/>
    </row>
    <row r="342" spans="1:4" ht="12.75" customHeight="1" x14ac:dyDescent="0.35">
      <c r="A342" s="28"/>
      <c r="B342" s="28" t="s">
        <v>2857</v>
      </c>
      <c r="C342" s="28"/>
      <c r="D342" s="28"/>
    </row>
    <row r="343" spans="1:4" ht="12.75" customHeight="1" x14ac:dyDescent="0.35">
      <c r="A343" s="28"/>
      <c r="B343" s="28" t="s">
        <v>2858</v>
      </c>
      <c r="C343" s="28"/>
      <c r="D343" s="28"/>
    </row>
    <row r="344" spans="1:4" ht="12.75" customHeight="1" x14ac:dyDescent="0.35">
      <c r="A344" s="28"/>
      <c r="B344" s="28" t="s">
        <v>2859</v>
      </c>
      <c r="C344" s="28"/>
      <c r="D344" s="28"/>
    </row>
    <row r="345" spans="1:4" ht="12.75" customHeight="1" x14ac:dyDescent="0.35">
      <c r="A345" s="28"/>
      <c r="B345" s="28" t="s">
        <v>2860</v>
      </c>
      <c r="C345" s="28"/>
      <c r="D345" s="28"/>
    </row>
    <row r="346" spans="1:4" ht="12.75" customHeight="1" x14ac:dyDescent="0.35">
      <c r="A346" s="28"/>
      <c r="B346" s="28" t="s">
        <v>2861</v>
      </c>
      <c r="C346" s="28"/>
      <c r="D346" s="28"/>
    </row>
    <row r="347" spans="1:4" ht="12.75" customHeight="1" x14ac:dyDescent="0.35">
      <c r="A347" s="28"/>
      <c r="B347" s="28"/>
      <c r="C347" s="28" t="s">
        <v>2862</v>
      </c>
      <c r="D347" s="28"/>
    </row>
    <row r="348" spans="1:4" ht="12.75" customHeight="1" x14ac:dyDescent="0.35">
      <c r="A348" s="28"/>
      <c r="B348" s="28"/>
      <c r="C348" s="28"/>
      <c r="D348" s="28"/>
    </row>
    <row r="349" spans="1:4" ht="12.75" customHeight="1" x14ac:dyDescent="0.35">
      <c r="A349" s="28"/>
      <c r="B349" s="28"/>
      <c r="C349" s="28" t="s">
        <v>2863</v>
      </c>
      <c r="D349" s="28"/>
    </row>
    <row r="350" spans="1:4" ht="12.75" customHeight="1" x14ac:dyDescent="0.35">
      <c r="A350" s="28"/>
      <c r="B350" s="28"/>
      <c r="C350" s="28" t="s">
        <v>2864</v>
      </c>
      <c r="D350" s="28"/>
    </row>
    <row r="351" spans="1:4" ht="12.75" customHeight="1" x14ac:dyDescent="0.35">
      <c r="A351" s="28"/>
      <c r="B351" s="28"/>
      <c r="C351" s="28" t="s">
        <v>2865</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2866</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2867</v>
      </c>
      <c r="D422" s="28"/>
    </row>
    <row r="423" spans="1:4" ht="12.75" customHeight="1" x14ac:dyDescent="0.35">
      <c r="A423" s="28"/>
      <c r="B423" s="28" t="s">
        <v>2868</v>
      </c>
      <c r="C423" s="28"/>
      <c r="D423" s="28"/>
    </row>
    <row r="424" spans="1:4" ht="12.75" customHeight="1" x14ac:dyDescent="0.35">
      <c r="A424" s="28"/>
      <c r="B424" s="28" t="s">
        <v>2869</v>
      </c>
      <c r="C424" s="28"/>
      <c r="D424" s="28"/>
    </row>
    <row r="425" spans="1:4" ht="12.75" customHeight="1" x14ac:dyDescent="0.35">
      <c r="A425" s="28"/>
      <c r="B425" s="28" t="s">
        <v>2864</v>
      </c>
      <c r="C425" s="28"/>
      <c r="D425" s="28"/>
    </row>
    <row r="426" spans="1:4" ht="12.75" customHeight="1" x14ac:dyDescent="0.35">
      <c r="A426" s="28"/>
      <c r="B426" s="28" t="s">
        <v>2870</v>
      </c>
      <c r="C426" s="28"/>
      <c r="D426" s="28"/>
    </row>
    <row r="427" spans="1:4" ht="12.75" customHeight="1" x14ac:dyDescent="0.35">
      <c r="A427" s="28"/>
      <c r="B427" s="28" t="s">
        <v>2871</v>
      </c>
      <c r="C427" s="28"/>
      <c r="D427" s="28"/>
    </row>
    <row r="428" spans="1:4" ht="12.75" customHeight="1" x14ac:dyDescent="0.35">
      <c r="A428" s="28"/>
      <c r="B428" s="28" t="s">
        <v>2872</v>
      </c>
      <c r="C428" s="28"/>
      <c r="D428" s="28"/>
    </row>
    <row r="429" spans="1:4" ht="12.75" customHeight="1" x14ac:dyDescent="0.35">
      <c r="A429" s="28"/>
      <c r="B429" s="28" t="s">
        <v>2873</v>
      </c>
      <c r="C429" s="28"/>
      <c r="D429" s="28"/>
    </row>
    <row r="430" spans="1:4" ht="12.75" customHeight="1" x14ac:dyDescent="0.35">
      <c r="A430" s="28"/>
      <c r="B430" s="28" t="s">
        <v>2874</v>
      </c>
      <c r="C430" s="28"/>
      <c r="D430" s="28"/>
    </row>
    <row r="431" spans="1:4" ht="12.75" customHeight="1" x14ac:dyDescent="0.35">
      <c r="A431" s="28"/>
      <c r="B431" s="28" t="s">
        <v>2875</v>
      </c>
      <c r="C431" s="28"/>
      <c r="D431" s="28"/>
    </row>
    <row r="432" spans="1:4" ht="12.75" customHeight="1" x14ac:dyDescent="0.35">
      <c r="A432" s="28"/>
      <c r="B432" s="28" t="s">
        <v>2876</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2877</v>
      </c>
      <c r="C439" s="28"/>
      <c r="D439" s="28"/>
    </row>
    <row r="440" spans="1:4" ht="12.75" customHeight="1" x14ac:dyDescent="0.35">
      <c r="A440" s="28"/>
      <c r="B440" s="28"/>
      <c r="C440" s="28"/>
      <c r="D440" s="28"/>
    </row>
    <row r="441" spans="1:4" ht="12.75" customHeight="1" x14ac:dyDescent="0.35">
      <c r="A441" s="28"/>
      <c r="B441" s="28" t="s">
        <v>2832</v>
      </c>
      <c r="C441" s="28"/>
      <c r="D441" s="28"/>
    </row>
    <row r="442" spans="1:4" ht="12.75" customHeight="1" x14ac:dyDescent="0.35">
      <c r="A442" s="28"/>
      <c r="B442" s="28" t="s">
        <v>2878</v>
      </c>
      <c r="C442" s="28"/>
      <c r="D442" s="28"/>
    </row>
    <row r="443" spans="1:4" ht="12.75" customHeight="1" x14ac:dyDescent="0.35">
      <c r="A443" s="28"/>
      <c r="B443" s="28"/>
      <c r="C443" s="1377" t="s">
        <v>6301</v>
      </c>
      <c r="D443" s="28"/>
    </row>
    <row r="444" spans="1:4" ht="12.75" customHeight="1" x14ac:dyDescent="0.35">
      <c r="A444" s="28"/>
      <c r="B444" s="28"/>
      <c r="C444" s="1377" t="s">
        <v>6302</v>
      </c>
      <c r="D444" s="28"/>
    </row>
    <row r="445" spans="1:4" ht="12.75" customHeight="1" x14ac:dyDescent="0.35">
      <c r="A445" s="28"/>
      <c r="B445" s="28"/>
      <c r="C445" s="1377" t="s">
        <v>6303</v>
      </c>
      <c r="D445" s="28"/>
    </row>
    <row r="446" spans="1:4" ht="12.75" customHeight="1" x14ac:dyDescent="0.35">
      <c r="A446" s="28"/>
      <c r="B446" s="28"/>
      <c r="C446" s="1377" t="s">
        <v>6304</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2879</v>
      </c>
      <c r="C456" s="28"/>
      <c r="D456" s="28"/>
    </row>
    <row r="457" spans="1:4" ht="12.75" customHeight="1" x14ac:dyDescent="0.35">
      <c r="A457" s="28"/>
      <c r="B457" s="28" t="s">
        <v>5545</v>
      </c>
      <c r="C457" s="28"/>
      <c r="D457" s="28"/>
    </row>
    <row r="458" spans="1:4" ht="12.75" customHeight="1" x14ac:dyDescent="0.35">
      <c r="A458" s="28"/>
      <c r="B458" s="28" t="str">
        <f>IF(PrintMode=0,"      ","")&amp;"Liiketoiminnan muut tuotot"</f>
        <v xml:space="preserve">      Liiketoiminnan muut tuotot</v>
      </c>
      <c r="C458" s="28"/>
      <c r="D458" s="28"/>
    </row>
    <row r="459" spans="1:4" ht="12.75" customHeight="1" x14ac:dyDescent="0.35">
      <c r="A459" s="28"/>
      <c r="B459" s="28" t="s">
        <v>2880</v>
      </c>
      <c r="C459" s="28"/>
      <c r="D459" s="28"/>
    </row>
    <row r="460" spans="1:4" ht="12.75" customHeight="1" x14ac:dyDescent="0.35">
      <c r="A460" s="28"/>
      <c r="B460" s="28"/>
      <c r="C460" s="28" t="s">
        <v>2881</v>
      </c>
      <c r="D460" s="28"/>
    </row>
    <row r="461" spans="1:4" ht="12.75" customHeight="1" x14ac:dyDescent="0.35">
      <c r="A461" s="28"/>
      <c r="B461" s="28"/>
      <c r="C461" s="1377" t="s">
        <v>2884</v>
      </c>
      <c r="D461" s="28"/>
    </row>
    <row r="462" spans="1:4" ht="12.75" customHeight="1" x14ac:dyDescent="0.35">
      <c r="A462" s="28"/>
      <c r="B462" s="28"/>
      <c r="C462" s="1377" t="s">
        <v>6305</v>
      </c>
      <c r="D462" s="28"/>
    </row>
    <row r="463" spans="1:4" ht="12.75" customHeight="1" x14ac:dyDescent="0.35">
      <c r="A463" s="28"/>
      <c r="B463" s="28"/>
      <c r="C463" s="28" t="s">
        <v>2882</v>
      </c>
      <c r="D463" s="28"/>
    </row>
    <row r="464" spans="1:4" ht="12.75" customHeight="1" x14ac:dyDescent="0.35">
      <c r="A464" s="28"/>
      <c r="B464" s="28"/>
      <c r="C464" s="28" t="s">
        <v>2883</v>
      </c>
      <c r="D464" s="28"/>
    </row>
    <row r="465" spans="1:4" ht="12.75" customHeight="1" x14ac:dyDescent="0.35">
      <c r="A465" s="28"/>
      <c r="B465" s="28"/>
      <c r="C465" s="28" t="s">
        <v>2884</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2885</v>
      </c>
      <c r="C472" s="28"/>
      <c r="D472" s="28"/>
    </row>
    <row r="473" spans="1:4" ht="12.75" customHeight="1" x14ac:dyDescent="0.35">
      <c r="A473" s="28"/>
      <c r="B473" s="28" t="s">
        <v>5545</v>
      </c>
      <c r="C473" s="28"/>
      <c r="D473" s="28"/>
    </row>
    <row r="474" spans="1:4" ht="12.75" customHeight="1" x14ac:dyDescent="0.35">
      <c r="A474" s="28"/>
      <c r="B474" s="28" t="s">
        <v>5546</v>
      </c>
      <c r="C474" s="28"/>
      <c r="D474" s="28"/>
    </row>
    <row r="475" spans="1:4" ht="12.75" customHeight="1" x14ac:dyDescent="0.35">
      <c r="A475" s="28"/>
      <c r="B475" s="28" t="s">
        <v>2886</v>
      </c>
      <c r="C475" s="28"/>
      <c r="D475" s="28"/>
    </row>
    <row r="476" spans="1:4" ht="12.75" customHeight="1" x14ac:dyDescent="0.35">
      <c r="A476" s="28"/>
      <c r="B476" s="28"/>
      <c r="C476" s="28" t="s">
        <v>2883</v>
      </c>
      <c r="D476" s="28"/>
    </row>
    <row r="477" spans="1:4" ht="12.75" customHeight="1" x14ac:dyDescent="0.35">
      <c r="A477" s="28"/>
      <c r="B477" s="28"/>
      <c r="C477" s="28" t="s">
        <v>2887</v>
      </c>
      <c r="D477" s="28"/>
    </row>
    <row r="478" spans="1:4" ht="12.75" customHeight="1" x14ac:dyDescent="0.35">
      <c r="A478" s="28"/>
      <c r="B478" s="28"/>
      <c r="C478" s="28" t="s">
        <v>2888</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C485" s="28"/>
      <c r="D485" s="28"/>
    </row>
    <row r="486" spans="1:4" ht="12.75" customHeight="1" x14ac:dyDescent="0.35">
      <c r="A486" s="28"/>
      <c r="B486" s="105" t="s">
        <v>2889</v>
      </c>
      <c r="C486" s="28"/>
      <c r="D486" s="28"/>
    </row>
    <row r="487" spans="1:4" ht="12.75" customHeight="1" x14ac:dyDescent="0.35">
      <c r="A487" s="28"/>
      <c r="B487" s="1250" t="s">
        <v>5609</v>
      </c>
      <c r="C487" s="28"/>
      <c r="D487" s="28"/>
    </row>
    <row r="488" spans="1:4" ht="12.75" customHeight="1" x14ac:dyDescent="0.35">
      <c r="A488" s="28"/>
      <c r="B488" s="28" t="s">
        <v>2890</v>
      </c>
      <c r="C488" s="28"/>
      <c r="D488" s="28"/>
    </row>
    <row r="489" spans="1:4" ht="12.75" customHeight="1" x14ac:dyDescent="0.35">
      <c r="A489" s="28"/>
      <c r="B489" s="28" t="s">
        <v>5545</v>
      </c>
      <c r="C489" s="28"/>
      <c r="D489" s="28"/>
    </row>
    <row r="490" spans="1:4" ht="12.75" customHeight="1" x14ac:dyDescent="0.35">
      <c r="A490" s="28"/>
      <c r="B490" s="28" t="s">
        <v>5339</v>
      </c>
      <c r="C490" s="28"/>
      <c r="D490" s="28"/>
    </row>
    <row r="491" spans="1:4" ht="12.75" customHeight="1" x14ac:dyDescent="0.35">
      <c r="A491" s="28"/>
      <c r="B491" s="28" t="s">
        <v>2512</v>
      </c>
      <c r="C491" s="28"/>
      <c r="D491" s="28"/>
    </row>
    <row r="492" spans="1:4" ht="12.75" customHeight="1" x14ac:dyDescent="0.35">
      <c r="A492" s="28"/>
      <c r="B492" s="28"/>
      <c r="C492" s="28" t="s">
        <v>2891</v>
      </c>
      <c r="D492" s="28"/>
    </row>
    <row r="493" spans="1:4" ht="12.75" customHeight="1" x14ac:dyDescent="0.35">
      <c r="A493" s="28"/>
      <c r="B493" s="28"/>
      <c r="C493" s="28" t="s">
        <v>2892</v>
      </c>
      <c r="D493" s="28"/>
    </row>
    <row r="494" spans="1:4" ht="12.75" customHeight="1" x14ac:dyDescent="0.35">
      <c r="A494" s="28"/>
      <c r="B494" s="28" t="s">
        <v>2893</v>
      </c>
      <c r="C494" s="28"/>
      <c r="D494" s="28"/>
    </row>
    <row r="495" spans="1:4" ht="12.75" customHeight="1" x14ac:dyDescent="0.35">
      <c r="A495" s="28"/>
      <c r="B495" s="28" t="s">
        <v>5545</v>
      </c>
      <c r="C495" s="28"/>
      <c r="D495" s="28"/>
    </row>
    <row r="496" spans="1:4" ht="12.75" customHeight="1" x14ac:dyDescent="0.35">
      <c r="A496" s="28"/>
      <c r="B496" s="28" t="s">
        <v>5338</v>
      </c>
      <c r="C496" s="28"/>
      <c r="D496" s="28"/>
    </row>
    <row r="497" spans="1:4" ht="12.75" customHeight="1" x14ac:dyDescent="0.35">
      <c r="A497" s="28"/>
      <c r="B497" s="28" t="s">
        <v>2894</v>
      </c>
      <c r="C497" s="28"/>
      <c r="D497" s="28"/>
    </row>
    <row r="498" spans="1:4" ht="12.75" customHeight="1" x14ac:dyDescent="0.35">
      <c r="A498" s="28"/>
      <c r="B498" s="28"/>
      <c r="C498" s="28" t="s">
        <v>2894</v>
      </c>
      <c r="D498" s="28"/>
    </row>
    <row r="499" spans="1:4" ht="12.75" customHeight="1" x14ac:dyDescent="0.35">
      <c r="A499" s="28"/>
      <c r="B499" s="28"/>
      <c r="C499" s="28" t="s">
        <v>2895</v>
      </c>
      <c r="D499" s="28"/>
    </row>
    <row r="500" spans="1:4" ht="12.75" customHeight="1" x14ac:dyDescent="0.35">
      <c r="A500" s="28"/>
      <c r="B500" s="28" t="s">
        <v>2896</v>
      </c>
      <c r="C500" s="28"/>
      <c r="D500" s="28"/>
    </row>
    <row r="501" spans="1:4" ht="12.75" customHeight="1" x14ac:dyDescent="0.35">
      <c r="A501" s="28"/>
      <c r="B501" s="28" t="s">
        <v>2897</v>
      </c>
      <c r="C501" s="28"/>
      <c r="D501" s="28"/>
    </row>
    <row r="502" spans="1:4" ht="12.75" customHeight="1" x14ac:dyDescent="0.35">
      <c r="A502" s="28"/>
      <c r="B502" s="28"/>
      <c r="C502" s="28" t="s">
        <v>2898</v>
      </c>
      <c r="D502" s="28"/>
    </row>
    <row r="503" spans="1:4" ht="12.75" customHeight="1" x14ac:dyDescent="0.35">
      <c r="A503" s="28"/>
      <c r="B503" s="28"/>
      <c r="C503" s="28" t="s">
        <v>2899</v>
      </c>
      <c r="D503" s="28"/>
    </row>
    <row r="504" spans="1:4" ht="12.75" customHeight="1" x14ac:dyDescent="0.35">
      <c r="A504" s="28"/>
      <c r="B504" s="28" t="s">
        <v>2900</v>
      </c>
      <c r="C504" s="28"/>
      <c r="D504" s="28"/>
    </row>
    <row r="505" spans="1:4" ht="12.75" customHeight="1" x14ac:dyDescent="0.35">
      <c r="A505" s="28"/>
      <c r="B505" s="28" t="s">
        <v>2901</v>
      </c>
      <c r="C505" s="28"/>
      <c r="D505" s="28"/>
    </row>
    <row r="506" spans="1:4" ht="12.75" customHeight="1" x14ac:dyDescent="0.35">
      <c r="A506" s="28"/>
      <c r="B506" s="28"/>
      <c r="C506" s="28" t="s">
        <v>2902</v>
      </c>
      <c r="D506" s="28"/>
    </row>
    <row r="507" spans="1:4" ht="12.75" customHeight="1" x14ac:dyDescent="0.35">
      <c r="A507" s="28"/>
      <c r="C507" s="28" t="str">
        <f>IF(CalculatedDepreciation,"Muut t","T")&amp;"ilinpäätössiirrot, lisäys (-) / vähennys (+)"</f>
        <v>Tilinpäätössiirrot, lisäys (-) / vähennys (+)</v>
      </c>
      <c r="D507" s="28"/>
    </row>
    <row r="508" spans="1:4" ht="12.75" customHeight="1" x14ac:dyDescent="0.35">
      <c r="A508" s="28"/>
      <c r="B508" s="28" t="s">
        <v>2903</v>
      </c>
      <c r="C508" s="28"/>
      <c r="D508" s="28"/>
    </row>
    <row r="509" spans="1:4" ht="12.75" customHeight="1" x14ac:dyDescent="0.35">
      <c r="A509" s="28"/>
      <c r="B509" s="105" t="s">
        <v>2904</v>
      </c>
      <c r="C509" s="28"/>
      <c r="D509" s="28"/>
    </row>
    <row r="510" spans="1:4" ht="12.75" customHeight="1" x14ac:dyDescent="0.35">
      <c r="A510" s="28"/>
      <c r="B510" s="28" t="s">
        <v>2905</v>
      </c>
      <c r="C510" s="28"/>
      <c r="D510" s="28"/>
    </row>
    <row r="511" spans="1:4" ht="12.75" customHeight="1" x14ac:dyDescent="0.35">
      <c r="A511" s="28"/>
      <c r="B511" s="28" t="s">
        <v>2906</v>
      </c>
      <c r="C511" s="28"/>
      <c r="D511" s="28"/>
    </row>
    <row r="512" spans="1:4" ht="12.75" customHeight="1" x14ac:dyDescent="0.35">
      <c r="A512" s="28"/>
      <c r="B512" s="28" t="s">
        <v>5545</v>
      </c>
      <c r="C512" s="28"/>
      <c r="D512" s="28"/>
    </row>
    <row r="513" spans="1:4" ht="12.75" customHeight="1" x14ac:dyDescent="0.35">
      <c r="A513" s="28"/>
      <c r="B513" s="28" t="s">
        <v>5547</v>
      </c>
      <c r="C513" s="28"/>
      <c r="D513" s="28"/>
    </row>
    <row r="514" spans="1:4" ht="12.75" customHeight="1" x14ac:dyDescent="0.35">
      <c r="A514" s="28"/>
      <c r="B514" s="28" t="s">
        <v>2907</v>
      </c>
      <c r="C514" s="28"/>
      <c r="D514" s="28"/>
    </row>
    <row r="515" spans="1:4" ht="12.75" customHeight="1" x14ac:dyDescent="0.35">
      <c r="A515" s="28"/>
      <c r="B515" s="28" t="s">
        <v>2908</v>
      </c>
      <c r="C515" s="28"/>
      <c r="D515" s="28"/>
    </row>
    <row r="516" spans="1:4" ht="12.75" customHeight="1" x14ac:dyDescent="0.35">
      <c r="A516" s="28"/>
      <c r="B516" s="28" t="s">
        <v>2909</v>
      </c>
      <c r="C516" s="28"/>
      <c r="D516" s="28"/>
    </row>
    <row r="517" spans="1:4" ht="12.75" customHeight="1" x14ac:dyDescent="0.35">
      <c r="A517" s="28"/>
      <c r="B517" s="28" t="s">
        <v>2910</v>
      </c>
      <c r="C517" s="28"/>
      <c r="D517" s="28"/>
    </row>
    <row r="518" spans="1:4" ht="12.75" customHeight="1" x14ac:dyDescent="0.35">
      <c r="A518" s="28"/>
      <c r="B518" s="28" t="s">
        <v>2911</v>
      </c>
      <c r="C518" s="28"/>
      <c r="D518" s="28"/>
    </row>
    <row r="519" spans="1:4" ht="12.75" customHeight="1" x14ac:dyDescent="0.35">
      <c r="A519" s="28"/>
      <c r="B519" s="28" t="s">
        <v>2912</v>
      </c>
      <c r="C519" s="28"/>
      <c r="D519" s="28"/>
    </row>
    <row r="520" spans="1:4" ht="12.75" customHeight="1" x14ac:dyDescent="0.35">
      <c r="A520" s="28"/>
      <c r="B520" s="28" t="s">
        <v>2913</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2914</v>
      </c>
      <c r="C523" s="28"/>
      <c r="D523" s="28"/>
    </row>
    <row r="524" spans="1:4" ht="12.75" customHeight="1" x14ac:dyDescent="0.35">
      <c r="A524" s="28"/>
      <c r="B524" s="28" t="s">
        <v>2915</v>
      </c>
      <c r="C524" s="28"/>
      <c r="D524" s="28"/>
    </row>
    <row r="525" spans="1:4" ht="12.75" customHeight="1" x14ac:dyDescent="0.35">
      <c r="A525" s="28"/>
      <c r="B525" s="28" t="s">
        <v>2512</v>
      </c>
      <c r="C525" s="28"/>
      <c r="D525" s="28"/>
    </row>
    <row r="526" spans="1:4" ht="12.75" customHeight="1" x14ac:dyDescent="0.35">
      <c r="A526" s="28"/>
      <c r="B526" s="28" t="s">
        <v>2916</v>
      </c>
      <c r="C526" s="28"/>
      <c r="D526" s="28"/>
    </row>
    <row r="527" spans="1:4" ht="12.75" customHeight="1" x14ac:dyDescent="0.35">
      <c r="A527" s="28"/>
      <c r="B527" s="28" t="s">
        <v>2917</v>
      </c>
      <c r="C527" s="28"/>
      <c r="D527" s="28"/>
    </row>
    <row r="528" spans="1:4" ht="12.75" customHeight="1" x14ac:dyDescent="0.35">
      <c r="A528" s="28"/>
      <c r="B528" s="28" t="s">
        <v>2918</v>
      </c>
      <c r="C528" s="28"/>
      <c r="D528" s="28"/>
    </row>
    <row r="529" spans="1:4" ht="12.75" customHeight="1" x14ac:dyDescent="0.35">
      <c r="A529" s="28"/>
      <c r="B529" s="28" t="s">
        <v>2919</v>
      </c>
      <c r="C529" s="28"/>
      <c r="D529" s="28"/>
    </row>
    <row r="530" spans="1:4" ht="12.75" customHeight="1" x14ac:dyDescent="0.35">
      <c r="A530" s="28"/>
      <c r="B530" s="28" t="s">
        <v>2920</v>
      </c>
      <c r="C530" s="28"/>
      <c r="D530" s="28"/>
    </row>
    <row r="531" spans="1:4" ht="12.75" customHeight="1" x14ac:dyDescent="0.35">
      <c r="A531" s="28"/>
      <c r="B531" s="28" t="s">
        <v>2921</v>
      </c>
      <c r="C531" s="28"/>
      <c r="D531" s="28"/>
    </row>
    <row r="532" spans="1:4" ht="12.75" customHeight="1" x14ac:dyDescent="0.35">
      <c r="A532" s="28"/>
      <c r="B532" s="28" t="s">
        <v>2922</v>
      </c>
      <c r="C532" s="28"/>
      <c r="D532" s="28"/>
    </row>
    <row r="533" spans="1:4" ht="12.75" customHeight="1" x14ac:dyDescent="0.35">
      <c r="A533" s="28"/>
      <c r="B533" s="28" t="s">
        <v>2923</v>
      </c>
      <c r="C533" s="28"/>
      <c r="D533" s="28"/>
    </row>
    <row r="534" spans="1:4" ht="12.75" customHeight="1" x14ac:dyDescent="0.35">
      <c r="A534" s="28"/>
      <c r="B534" s="28" t="s">
        <v>2924</v>
      </c>
      <c r="C534" s="28"/>
      <c r="D534" s="28"/>
    </row>
    <row r="535" spans="1:4" ht="12.75" customHeight="1" x14ac:dyDescent="0.35">
      <c r="A535" s="28"/>
      <c r="B535" s="28" t="s">
        <v>2925</v>
      </c>
      <c r="C535" s="28"/>
      <c r="D535" s="28"/>
    </row>
    <row r="536" spans="1:4" ht="12.75" customHeight="1" x14ac:dyDescent="0.35">
      <c r="A536" s="28"/>
      <c r="B536" s="28" t="s">
        <v>2926</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2927</v>
      </c>
      <c r="C542" s="28"/>
      <c r="D542" s="28"/>
    </row>
    <row r="543" spans="1:4" ht="12.75" customHeight="1" x14ac:dyDescent="0.35">
      <c r="A543" s="28"/>
      <c r="B543" s="28"/>
      <c r="C543" s="28"/>
      <c r="D543" s="28"/>
    </row>
    <row r="544" spans="1:4" ht="12.75" customHeight="1" x14ac:dyDescent="0.35">
      <c r="A544" s="28"/>
      <c r="B544" s="28" t="s">
        <v>2832</v>
      </c>
      <c r="C544" s="28"/>
      <c r="D544" s="28"/>
    </row>
    <row r="545" spans="1:4" ht="12.75" customHeight="1" x14ac:dyDescent="0.35">
      <c r="A545" s="28"/>
      <c r="B545" s="28" t="s">
        <v>2928</v>
      </c>
      <c r="C545" s="28"/>
      <c r="D545" s="28"/>
    </row>
    <row r="546" spans="1:4" ht="12.75" customHeight="1" x14ac:dyDescent="0.35">
      <c r="A546" s="28"/>
      <c r="B546" s="28"/>
      <c r="C546" s="194" t="s">
        <v>5405</v>
      </c>
      <c r="D546" s="28"/>
    </row>
    <row r="547" spans="1:4" ht="12.75" customHeight="1" x14ac:dyDescent="0.35">
      <c r="A547" s="28"/>
      <c r="B547" s="28"/>
      <c r="C547" s="194" t="s">
        <v>2929</v>
      </c>
      <c r="D547" s="28"/>
    </row>
    <row r="548" spans="1:4" ht="12.75" customHeight="1" x14ac:dyDescent="0.35">
      <c r="A548" s="28"/>
      <c r="B548" s="28"/>
      <c r="C548" s="194" t="s">
        <v>2930</v>
      </c>
      <c r="D548" s="28"/>
    </row>
    <row r="549" spans="1:4" ht="12.75" customHeight="1" x14ac:dyDescent="0.35">
      <c r="A549" s="28"/>
      <c r="B549" s="28"/>
      <c r="C549" s="194" t="s">
        <v>5407</v>
      </c>
      <c r="D549" s="28"/>
    </row>
    <row r="550" spans="1:4" ht="12.75" customHeight="1" x14ac:dyDescent="0.35">
      <c r="A550" s="28"/>
      <c r="C550" s="194" t="s">
        <v>5405</v>
      </c>
    </row>
    <row r="551" spans="1:4" ht="12.75" customHeight="1" x14ac:dyDescent="0.35">
      <c r="A551" s="28"/>
      <c r="C551" s="194" t="s">
        <v>2929</v>
      </c>
    </row>
    <row r="552" spans="1:4" ht="12.75" customHeight="1" x14ac:dyDescent="0.35">
      <c r="A552" s="28"/>
      <c r="C552" s="194" t="s">
        <v>2930</v>
      </c>
    </row>
    <row r="553" spans="1:4" ht="12.75" customHeight="1" x14ac:dyDescent="0.35">
      <c r="A553" s="28"/>
      <c r="C553" s="194" t="s">
        <v>5407</v>
      </c>
    </row>
    <row r="554" spans="1:4" ht="12.75" customHeight="1" x14ac:dyDescent="0.35">
      <c r="A554" s="28"/>
      <c r="C554" s="194" t="s">
        <v>5405</v>
      </c>
    </row>
    <row r="555" spans="1:4" ht="12.75" customHeight="1" x14ac:dyDescent="0.35">
      <c r="A555" s="28"/>
      <c r="B555" s="28"/>
      <c r="C555" s="194" t="s">
        <v>2929</v>
      </c>
      <c r="D555" s="28"/>
    </row>
    <row r="556" spans="1:4" ht="12.75" customHeight="1" x14ac:dyDescent="0.35">
      <c r="A556" s="28"/>
      <c r="B556" s="28"/>
      <c r="C556" s="194" t="s">
        <v>2930</v>
      </c>
      <c r="D556" s="28"/>
    </row>
    <row r="557" spans="1:4" ht="12.75" customHeight="1" x14ac:dyDescent="0.35">
      <c r="A557" s="28"/>
      <c r="B557" s="28"/>
      <c r="C557" s="194" t="s">
        <v>5407</v>
      </c>
      <c r="D557" s="28"/>
    </row>
    <row r="558" spans="1:4" ht="12.75" customHeight="1" x14ac:dyDescent="0.35">
      <c r="A558" s="28"/>
      <c r="B558" s="28"/>
      <c r="C558" s="194" t="s">
        <v>5405</v>
      </c>
      <c r="D558" s="28"/>
    </row>
    <row r="559" spans="1:4" ht="12.75" customHeight="1" x14ac:dyDescent="0.35">
      <c r="A559" s="28"/>
      <c r="B559" s="28"/>
      <c r="C559" s="194" t="s">
        <v>2929</v>
      </c>
      <c r="D559" s="28"/>
    </row>
    <row r="560" spans="1:4" ht="12.75" customHeight="1" x14ac:dyDescent="0.35">
      <c r="A560" s="28"/>
      <c r="B560" s="28"/>
      <c r="C560" s="194" t="s">
        <v>2930</v>
      </c>
      <c r="D560" s="28"/>
    </row>
    <row r="561" spans="1:4" ht="12.75" customHeight="1" x14ac:dyDescent="0.35">
      <c r="A561" s="28"/>
      <c r="B561" s="28"/>
      <c r="C561" s="194" t="s">
        <v>5407</v>
      </c>
      <c r="D561" s="28"/>
    </row>
    <row r="562" spans="1:4" ht="12.75" customHeight="1" x14ac:dyDescent="0.35">
      <c r="A562" s="28"/>
      <c r="B562" s="28"/>
      <c r="C562" s="194" t="s">
        <v>5405</v>
      </c>
      <c r="D562" s="28"/>
    </row>
    <row r="563" spans="1:4" ht="12.75" customHeight="1" x14ac:dyDescent="0.35">
      <c r="A563" s="28"/>
      <c r="B563" s="28"/>
      <c r="C563" s="194" t="s">
        <v>2929</v>
      </c>
      <c r="D563" s="28"/>
    </row>
    <row r="564" spans="1:4" ht="12.75" customHeight="1" x14ac:dyDescent="0.35">
      <c r="A564" s="28"/>
      <c r="B564" s="28"/>
      <c r="C564" s="194" t="s">
        <v>2930</v>
      </c>
      <c r="D564" s="28"/>
    </row>
    <row r="565" spans="1:4" ht="12.75" customHeight="1" x14ac:dyDescent="0.35">
      <c r="A565" s="28"/>
      <c r="B565" s="28"/>
      <c r="C565" s="194" t="s">
        <v>5407</v>
      </c>
      <c r="D565" s="28"/>
    </row>
    <row r="566" spans="1:4" ht="12.75" customHeight="1" x14ac:dyDescent="0.35">
      <c r="A566" s="28"/>
      <c r="B566" s="28"/>
      <c r="C566" s="1250" t="s">
        <v>5615</v>
      </c>
      <c r="D566" s="28"/>
    </row>
    <row r="567" spans="1:4" ht="12.75" customHeight="1" x14ac:dyDescent="0.35">
      <c r="A567" s="28"/>
      <c r="B567" s="28"/>
      <c r="C567" s="1250" t="s">
        <v>5618</v>
      </c>
      <c r="D567" s="28"/>
    </row>
    <row r="568" spans="1:4" ht="12.75" customHeight="1" x14ac:dyDescent="0.35">
      <c r="A568" s="28"/>
      <c r="B568" s="28"/>
      <c r="C568" s="28" t="s">
        <v>2931</v>
      </c>
      <c r="D568" s="28"/>
    </row>
    <row r="569" spans="1:4" ht="12.75" customHeight="1" x14ac:dyDescent="0.35">
      <c r="A569" s="28"/>
      <c r="B569" s="28"/>
      <c r="C569" s="28" t="s">
        <v>5467</v>
      </c>
      <c r="D569" s="28"/>
    </row>
    <row r="570" spans="1:4" ht="12.75" customHeight="1" x14ac:dyDescent="0.35">
      <c r="A570" s="28"/>
      <c r="B570" s="28"/>
      <c r="C570" s="1250" t="s">
        <v>5622</v>
      </c>
      <c r="D570" s="28"/>
    </row>
    <row r="571" spans="1:4" ht="12.75" customHeight="1" x14ac:dyDescent="0.35">
      <c r="A571" s="28"/>
      <c r="B571" s="28"/>
      <c r="C571" s="1250" t="s">
        <v>5623</v>
      </c>
      <c r="D571" s="28"/>
    </row>
    <row r="572" spans="1:4" ht="12.75" customHeight="1" x14ac:dyDescent="0.35">
      <c r="A572" s="28"/>
      <c r="B572" s="28"/>
      <c r="C572" s="28" t="s">
        <v>2932</v>
      </c>
      <c r="D572" s="28"/>
    </row>
    <row r="573" spans="1:4" ht="12.75" customHeight="1" x14ac:dyDescent="0.35">
      <c r="A573" s="28"/>
      <c r="B573" s="28"/>
      <c r="C573" s="28" t="s">
        <v>2933</v>
      </c>
      <c r="D573" s="28"/>
    </row>
    <row r="574" spans="1:4" ht="12.75" customHeight="1" x14ac:dyDescent="0.35">
      <c r="A574" s="28"/>
      <c r="B574" s="28"/>
      <c r="C574" s="28" t="s">
        <v>5465</v>
      </c>
      <c r="D574" s="28"/>
    </row>
    <row r="575" spans="1:4" ht="12.75" customHeight="1" x14ac:dyDescent="0.35">
      <c r="A575" s="28"/>
      <c r="B575" s="28" t="s">
        <v>2934</v>
      </c>
      <c r="C575" s="28"/>
      <c r="D575" s="28"/>
    </row>
    <row r="576" spans="1:4" ht="12.75" customHeight="1" x14ac:dyDescent="0.35">
      <c r="A576" s="28"/>
      <c r="B576" s="28"/>
      <c r="C576" s="194" t="s">
        <v>5405</v>
      </c>
      <c r="D576" s="28"/>
    </row>
    <row r="577" spans="1:4" ht="12.75" customHeight="1" x14ac:dyDescent="0.35">
      <c r="A577" s="28"/>
      <c r="B577" s="28"/>
      <c r="C577" s="194" t="s">
        <v>2934</v>
      </c>
      <c r="D577" s="28"/>
    </row>
    <row r="578" spans="1:4" ht="12.75" customHeight="1" x14ac:dyDescent="0.35">
      <c r="A578" s="28"/>
      <c r="B578" s="28"/>
      <c r="C578" s="194" t="s">
        <v>5406</v>
      </c>
      <c r="D578" s="28"/>
    </row>
    <row r="579" spans="1:4" ht="12.75" customHeight="1" x14ac:dyDescent="0.35">
      <c r="A579" s="28"/>
      <c r="C579" s="194" t="s">
        <v>5407</v>
      </c>
      <c r="D579" s="28"/>
    </row>
    <row r="580" spans="1:4" ht="12.75" customHeight="1" x14ac:dyDescent="0.35">
      <c r="A580" s="28"/>
      <c r="B580" s="28"/>
      <c r="C580" s="194" t="s">
        <v>5405</v>
      </c>
      <c r="D580" s="28"/>
    </row>
    <row r="581" spans="1:4" ht="12.75" customHeight="1" x14ac:dyDescent="0.35">
      <c r="A581" s="28"/>
      <c r="B581" s="28"/>
      <c r="C581" s="194" t="s">
        <v>5401</v>
      </c>
      <c r="D581" s="28"/>
    </row>
    <row r="582" spans="1:4" ht="12.75" customHeight="1" x14ac:dyDescent="0.35">
      <c r="A582" s="28"/>
      <c r="B582" s="28"/>
      <c r="C582" s="194" t="s">
        <v>5406</v>
      </c>
      <c r="D582" s="28"/>
    </row>
    <row r="583" spans="1:4" ht="12.75" customHeight="1" x14ac:dyDescent="0.35">
      <c r="A583" s="28"/>
      <c r="C583" s="194" t="s">
        <v>5407</v>
      </c>
      <c r="D583" s="28"/>
    </row>
    <row r="584" spans="1:4" ht="12.75" customHeight="1" x14ac:dyDescent="0.35">
      <c r="A584" s="28"/>
      <c r="B584" s="28"/>
      <c r="C584" s="194" t="s">
        <v>5405</v>
      </c>
      <c r="D584" s="28"/>
    </row>
    <row r="585" spans="1:4" ht="12.75" customHeight="1" x14ac:dyDescent="0.35">
      <c r="A585" s="28"/>
      <c r="B585" s="28"/>
      <c r="C585" s="194" t="s">
        <v>5402</v>
      </c>
      <c r="D585" s="28"/>
    </row>
    <row r="586" spans="1:4" ht="12.75" customHeight="1" x14ac:dyDescent="0.35">
      <c r="A586" s="28"/>
      <c r="B586" s="28"/>
      <c r="C586" s="194" t="s">
        <v>5406</v>
      </c>
      <c r="D586" s="28"/>
    </row>
    <row r="587" spans="1:4" ht="12.75" customHeight="1" x14ac:dyDescent="0.35">
      <c r="A587" s="28"/>
      <c r="C587" s="194" t="s">
        <v>5407</v>
      </c>
      <c r="D587" s="28"/>
    </row>
    <row r="588" spans="1:4" ht="12.75" customHeight="1" x14ac:dyDescent="0.35">
      <c r="A588" s="28"/>
      <c r="B588" s="28"/>
      <c r="C588" s="194" t="s">
        <v>5405</v>
      </c>
      <c r="D588" s="28"/>
    </row>
    <row r="589" spans="1:4" ht="12.75" customHeight="1" x14ac:dyDescent="0.35">
      <c r="A589" s="28"/>
      <c r="B589" s="28"/>
      <c r="C589" s="194" t="s">
        <v>5403</v>
      </c>
      <c r="D589" s="28"/>
    </row>
    <row r="590" spans="1:4" ht="12.75" customHeight="1" x14ac:dyDescent="0.35">
      <c r="A590" s="28"/>
      <c r="B590" s="28"/>
      <c r="C590" s="194" t="s">
        <v>5406</v>
      </c>
      <c r="D590" s="28"/>
    </row>
    <row r="591" spans="1:4" ht="12.75" customHeight="1" x14ac:dyDescent="0.35">
      <c r="A591" s="28"/>
      <c r="C591" s="194" t="s">
        <v>5407</v>
      </c>
      <c r="D591" s="28"/>
    </row>
    <row r="592" spans="1:4" ht="12.75" customHeight="1" x14ac:dyDescent="0.35">
      <c r="A592" s="28"/>
      <c r="B592" s="28"/>
      <c r="C592" s="194" t="s">
        <v>5405</v>
      </c>
      <c r="D592" s="28"/>
    </row>
    <row r="593" spans="1:4" ht="12.75" customHeight="1" x14ac:dyDescent="0.35">
      <c r="A593" s="28"/>
      <c r="B593" s="28"/>
      <c r="C593" s="194" t="s">
        <v>5404</v>
      </c>
      <c r="D593" s="28"/>
    </row>
    <row r="594" spans="1:4" ht="12.75" customHeight="1" x14ac:dyDescent="0.35">
      <c r="A594" s="28"/>
      <c r="B594" s="28"/>
      <c r="C594" s="194" t="s">
        <v>5406</v>
      </c>
      <c r="D594" s="28"/>
    </row>
    <row r="595" spans="1:4" ht="12.75" customHeight="1" x14ac:dyDescent="0.35">
      <c r="A595" s="28"/>
      <c r="C595" s="194" t="s">
        <v>5407</v>
      </c>
      <c r="D595" s="28"/>
    </row>
    <row r="596" spans="1:4" ht="12.75" customHeight="1" x14ac:dyDescent="0.35">
      <c r="A596" s="28"/>
      <c r="B596" s="28"/>
      <c r="C596" s="28" t="s">
        <v>5468</v>
      </c>
      <c r="D596" s="28"/>
    </row>
    <row r="597" spans="1:4" ht="12.75" customHeight="1" x14ac:dyDescent="0.35">
      <c r="A597" s="28"/>
      <c r="B597" s="28" t="s">
        <v>2935</v>
      </c>
      <c r="C597" s="28"/>
      <c r="D597" s="28"/>
    </row>
    <row r="598" spans="1:4" ht="12.75" customHeight="1" x14ac:dyDescent="0.35">
      <c r="A598" s="28"/>
      <c r="B598" s="28"/>
      <c r="C598" s="194" t="s">
        <v>5408</v>
      </c>
      <c r="D598" s="28"/>
    </row>
    <row r="599" spans="1:4" ht="12.75" customHeight="1" x14ac:dyDescent="0.35">
      <c r="A599" s="28"/>
      <c r="B599" s="28"/>
      <c r="C599" s="194" t="s">
        <v>2936</v>
      </c>
      <c r="D599" s="28"/>
    </row>
    <row r="600" spans="1:4" ht="12.75" customHeight="1" x14ac:dyDescent="0.35">
      <c r="A600" s="28"/>
      <c r="B600" s="28"/>
      <c r="C600" s="194" t="s">
        <v>2937</v>
      </c>
      <c r="D600" s="28"/>
    </row>
    <row r="601" spans="1:4" ht="12.75" customHeight="1" x14ac:dyDescent="0.35">
      <c r="A601" s="28"/>
      <c r="B601" s="28"/>
      <c r="C601" s="194" t="s">
        <v>5409</v>
      </c>
      <c r="D601" s="28"/>
    </row>
    <row r="602" spans="1:4" ht="12.75" customHeight="1" x14ac:dyDescent="0.35">
      <c r="A602" s="28"/>
      <c r="B602" s="28"/>
      <c r="C602" s="194" t="s">
        <v>5408</v>
      </c>
      <c r="D602" s="28"/>
    </row>
    <row r="603" spans="1:4" ht="12.75" customHeight="1" x14ac:dyDescent="0.35">
      <c r="A603" s="28"/>
      <c r="B603" s="28"/>
      <c r="C603" s="194" t="s">
        <v>5410</v>
      </c>
      <c r="D603" s="28"/>
    </row>
    <row r="604" spans="1:4" ht="12.75" customHeight="1" x14ac:dyDescent="0.35">
      <c r="A604" s="28"/>
      <c r="B604" s="28"/>
      <c r="C604" s="194" t="s">
        <v>2937</v>
      </c>
      <c r="D604" s="28"/>
    </row>
    <row r="605" spans="1:4" ht="12.75" customHeight="1" x14ac:dyDescent="0.35">
      <c r="A605" s="28"/>
      <c r="B605" s="28"/>
      <c r="C605" s="194" t="s">
        <v>5409</v>
      </c>
      <c r="D605" s="28"/>
    </row>
    <row r="606" spans="1:4" ht="12.75" customHeight="1" x14ac:dyDescent="0.35">
      <c r="A606" s="28"/>
      <c r="B606" s="28"/>
      <c r="C606" s="194" t="s">
        <v>5408</v>
      </c>
      <c r="D606" s="28"/>
    </row>
    <row r="607" spans="1:4" ht="12.75" customHeight="1" x14ac:dyDescent="0.35">
      <c r="A607" s="28"/>
      <c r="B607" s="28"/>
      <c r="C607" s="194" t="s">
        <v>5411</v>
      </c>
      <c r="D607" s="28"/>
    </row>
    <row r="608" spans="1:4" ht="12.75" customHeight="1" x14ac:dyDescent="0.35">
      <c r="A608" s="28"/>
      <c r="B608" s="28"/>
      <c r="C608" s="194" t="s">
        <v>2937</v>
      </c>
      <c r="D608" s="28"/>
    </row>
    <row r="609" spans="1:4" ht="12.75" customHeight="1" x14ac:dyDescent="0.35">
      <c r="A609" s="28"/>
      <c r="B609" s="28"/>
      <c r="C609" s="194" t="s">
        <v>5409</v>
      </c>
      <c r="D609" s="28"/>
    </row>
    <row r="610" spans="1:4" ht="12.75" customHeight="1" x14ac:dyDescent="0.35">
      <c r="A610" s="28"/>
      <c r="B610" s="28"/>
      <c r="C610" s="194" t="s">
        <v>5408</v>
      </c>
      <c r="D610" s="28"/>
    </row>
    <row r="611" spans="1:4" ht="12.75" customHeight="1" x14ac:dyDescent="0.35">
      <c r="A611" s="28"/>
      <c r="B611" s="28"/>
      <c r="C611" s="194" t="s">
        <v>5412</v>
      </c>
      <c r="D611" s="28"/>
    </row>
    <row r="612" spans="1:4" ht="12.75" customHeight="1" x14ac:dyDescent="0.35">
      <c r="A612" s="28"/>
      <c r="B612" s="28"/>
      <c r="C612" s="194" t="s">
        <v>2937</v>
      </c>
      <c r="D612" s="28"/>
    </row>
    <row r="613" spans="1:4" ht="12.75" customHeight="1" x14ac:dyDescent="0.35">
      <c r="A613" s="28"/>
      <c r="B613" s="28"/>
      <c r="C613" s="194" t="s">
        <v>5409</v>
      </c>
      <c r="D613" s="28"/>
    </row>
    <row r="614" spans="1:4" ht="12.75" customHeight="1" x14ac:dyDescent="0.35">
      <c r="A614" s="28"/>
      <c r="B614" s="28"/>
      <c r="C614" s="194" t="s">
        <v>5408</v>
      </c>
      <c r="D614" s="28"/>
    </row>
    <row r="615" spans="1:4" ht="12.75" customHeight="1" x14ac:dyDescent="0.35">
      <c r="A615" s="28"/>
      <c r="B615" s="28"/>
      <c r="C615" s="194" t="s">
        <v>5413</v>
      </c>
      <c r="D615" s="28"/>
    </row>
    <row r="616" spans="1:4" ht="12.75" customHeight="1" x14ac:dyDescent="0.35">
      <c r="A616" s="28"/>
      <c r="B616" s="28"/>
      <c r="C616" s="194" t="s">
        <v>2937</v>
      </c>
      <c r="D616" s="28"/>
    </row>
    <row r="617" spans="1:4" ht="12.75" customHeight="1" x14ac:dyDescent="0.35">
      <c r="A617" s="28"/>
      <c r="B617" s="28"/>
      <c r="C617" s="194" t="s">
        <v>5409</v>
      </c>
      <c r="D617" s="28"/>
    </row>
    <row r="618" spans="1:4" ht="12.75" customHeight="1" x14ac:dyDescent="0.35">
      <c r="A618" s="28"/>
      <c r="B618" s="28"/>
      <c r="C618" s="1250" t="s">
        <v>5634</v>
      </c>
      <c r="D618" s="28"/>
    </row>
    <row r="619" spans="1:4" ht="12.75" customHeight="1" x14ac:dyDescent="0.35">
      <c r="A619" s="28"/>
      <c r="B619" s="28"/>
      <c r="C619" s="1250" t="s">
        <v>5635</v>
      </c>
      <c r="D619" s="28"/>
    </row>
    <row r="620" spans="1:4" ht="12.75" customHeight="1" x14ac:dyDescent="0.35">
      <c r="A620" s="28"/>
      <c r="B620" s="28"/>
      <c r="C620" s="28" t="s">
        <v>2938</v>
      </c>
      <c r="D620" s="28"/>
    </row>
    <row r="621" spans="1:4" ht="12.75" customHeight="1" x14ac:dyDescent="0.35">
      <c r="A621" s="28"/>
      <c r="B621" s="28"/>
      <c r="C621" s="28" t="s">
        <v>2939</v>
      </c>
      <c r="D621" s="28"/>
    </row>
    <row r="622" spans="1:4" ht="12.75" customHeight="1" x14ac:dyDescent="0.35">
      <c r="A622" s="28"/>
      <c r="B622" s="28"/>
      <c r="C622" s="1250" t="s">
        <v>5646</v>
      </c>
      <c r="D622" s="28"/>
    </row>
    <row r="623" spans="1:4" ht="12.75" customHeight="1" x14ac:dyDescent="0.35">
      <c r="A623" s="28"/>
      <c r="B623" s="28"/>
      <c r="C623" s="1250" t="s">
        <v>5647</v>
      </c>
      <c r="D623" s="28"/>
    </row>
    <row r="624" spans="1:4" ht="12.75" customHeight="1" x14ac:dyDescent="0.35">
      <c r="A624" s="28"/>
      <c r="B624" s="28"/>
      <c r="C624" s="28" t="s">
        <v>2940</v>
      </c>
      <c r="D624" s="28"/>
    </row>
    <row r="625" spans="1:4" ht="12.75" customHeight="1" x14ac:dyDescent="0.35">
      <c r="A625" s="28"/>
      <c r="B625" s="28" t="s">
        <v>2941</v>
      </c>
      <c r="C625" s="28"/>
      <c r="D625" s="28"/>
    </row>
    <row r="626" spans="1:4" ht="12.75" customHeight="1" x14ac:dyDescent="0.35">
      <c r="A626" s="28"/>
      <c r="B626" s="28" t="s">
        <v>2942</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2943</v>
      </c>
      <c r="C630" s="28"/>
      <c r="D630" s="28"/>
    </row>
    <row r="631" spans="1:4" ht="12.75" customHeight="1" x14ac:dyDescent="0.35">
      <c r="A631" s="28"/>
      <c r="B631" s="28"/>
      <c r="C631" s="28"/>
      <c r="D631" s="28"/>
    </row>
    <row r="632" spans="1:4" ht="12.75" customHeight="1" x14ac:dyDescent="0.35">
      <c r="A632" s="28"/>
      <c r="B632" s="28" t="s">
        <v>2832</v>
      </c>
      <c r="C632" s="28"/>
      <c r="D632" s="28"/>
    </row>
    <row r="633" spans="1:4" ht="12.75" customHeight="1" x14ac:dyDescent="0.35">
      <c r="A633" s="28"/>
      <c r="B633" s="28" t="s">
        <v>2944</v>
      </c>
      <c r="C633" s="28"/>
      <c r="D633" s="28"/>
    </row>
    <row r="634" spans="1:4" ht="12.75" customHeight="1" x14ac:dyDescent="0.35">
      <c r="A634" s="28"/>
      <c r="B634" s="28"/>
      <c r="C634" s="28" t="s">
        <v>2879</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2880</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2886</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2897</v>
      </c>
      <c r="D667" s="28"/>
    </row>
    <row r="668" spans="1:4" ht="12.75" customHeight="1" x14ac:dyDescent="0.35">
      <c r="A668" s="28"/>
      <c r="B668" s="28"/>
      <c r="C668" s="28"/>
      <c r="D668" s="28"/>
    </row>
    <row r="669" spans="1:4" ht="12.75" customHeight="1" x14ac:dyDescent="0.35">
      <c r="A669" s="28"/>
      <c r="B669" s="28"/>
      <c r="C669" s="28" t="s">
        <v>2945</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2944</v>
      </c>
      <c r="C673" s="28"/>
      <c r="D673" s="28"/>
    </row>
    <row r="674" spans="1:4" ht="12.75" customHeight="1" x14ac:dyDescent="0.35">
      <c r="A674" s="28"/>
      <c r="B674" s="28" t="s">
        <v>2831</v>
      </c>
      <c r="C674" s="28"/>
      <c r="D674" s="28"/>
    </row>
    <row r="675" spans="1:4" ht="12.75" customHeight="1" x14ac:dyDescent="0.35">
      <c r="A675" s="28"/>
      <c r="B675" s="28" t="s">
        <v>2946</v>
      </c>
      <c r="C675" s="28"/>
      <c r="D675" s="28"/>
    </row>
    <row r="676" spans="1:4" ht="12.75" customHeight="1" x14ac:dyDescent="0.35">
      <c r="A676" s="28"/>
      <c r="B676" s="28" t="s">
        <v>2947</v>
      </c>
      <c r="C676" s="28"/>
      <c r="D676" s="28"/>
    </row>
    <row r="677" spans="1:4" ht="12.75" customHeight="1" x14ac:dyDescent="0.35">
      <c r="A677" s="28"/>
      <c r="B677" s="28"/>
      <c r="C677" s="28" t="s">
        <v>2948</v>
      </c>
      <c r="D677" s="28"/>
    </row>
    <row r="678" spans="1:4" ht="12.75" customHeight="1" x14ac:dyDescent="0.35">
      <c r="A678" s="28"/>
      <c r="B678" s="28"/>
      <c r="C678" s="28"/>
      <c r="D678" s="28"/>
    </row>
    <row r="679" spans="1:4" ht="12.75" customHeight="1" x14ac:dyDescent="0.35">
      <c r="A679" s="28"/>
      <c r="B679" s="28"/>
      <c r="C679" s="28" t="s">
        <v>2949</v>
      </c>
      <c r="D679" s="28"/>
    </row>
    <row r="680" spans="1:4" ht="12.75" customHeight="1" x14ac:dyDescent="0.35">
      <c r="A680" s="28"/>
      <c r="B680" s="28" t="str">
        <f>"Vapaa kassavirta "&amp;IF(FCFEinUse&lt;&gt;1,"(FCF)","yhtiölle (FCFF)")</f>
        <v>Vapaa kassavirta (FCF)</v>
      </c>
      <c r="C680" s="28"/>
      <c r="D680" s="28"/>
    </row>
    <row r="681" spans="1:4" ht="12.75" customHeight="1" x14ac:dyDescent="0.35">
      <c r="A681" s="28"/>
      <c r="B681" s="28" t="str">
        <f>"Diskontattu vapaa kassavirta "&amp;IF(FCFEinUse&lt;&gt;1,"(DFCF)","yhtiölle (DFCFF)")</f>
        <v>Diskontattu vapaa kassavirta (DFCF)</v>
      </c>
      <c r="C681" s="28"/>
      <c r="D681" s="28"/>
    </row>
    <row r="682" spans="1:4" ht="12.75" customHeight="1" x14ac:dyDescent="0.35">
      <c r="A682" s="28"/>
      <c r="B682" s="28" t="str">
        <f>"Kumulatiivinen diskontattu vapaa kassavirta"&amp;IF(FCFEinUse&lt;&gt;1,""," yhtiölle")</f>
        <v>Kumulatiivinen diskontattu vapaa kassavirta</v>
      </c>
      <c r="C682" s="28"/>
      <c r="D682" s="28"/>
    </row>
    <row r="683" spans="1:4" ht="12.75" customHeight="1" x14ac:dyDescent="0.35">
      <c r="A683" s="28"/>
      <c r="B683" s="28" t="s">
        <v>2950</v>
      </c>
      <c r="C683" s="28"/>
      <c r="D683" s="28"/>
    </row>
    <row r="684" spans="1:4" ht="12.75" customHeight="1" x14ac:dyDescent="0.35">
      <c r="A684" s="28"/>
      <c r="B684" s="28" t="s">
        <v>2951</v>
      </c>
      <c r="C684" s="28"/>
      <c r="D684" s="28"/>
    </row>
    <row r="685" spans="1:4" ht="12.75" customHeight="1" x14ac:dyDescent="0.35">
      <c r="A685" s="28"/>
      <c r="B685" s="28" t="s">
        <v>2952</v>
      </c>
      <c r="C685" s="28"/>
      <c r="D685" s="28"/>
    </row>
    <row r="686" spans="1:4" ht="12.75" customHeight="1" x14ac:dyDescent="0.35">
      <c r="A686" s="28"/>
      <c r="B686" s="28" t="s">
        <v>2953</v>
      </c>
      <c r="C686" s="28"/>
      <c r="D686" s="28"/>
    </row>
    <row r="687" spans="1:4" ht="12.75" customHeight="1" x14ac:dyDescent="0.35">
      <c r="A687" s="28"/>
      <c r="B687" s="28"/>
      <c r="C687" s="28" t="s">
        <v>2894</v>
      </c>
      <c r="D687" s="28"/>
    </row>
    <row r="688" spans="1:4" ht="12.75" customHeight="1" x14ac:dyDescent="0.35">
      <c r="A688" s="28"/>
      <c r="B688" s="28"/>
      <c r="C688" s="28" t="s">
        <v>2954</v>
      </c>
      <c r="D688" s="28"/>
    </row>
    <row r="689" spans="1:4" ht="12.75" customHeight="1" x14ac:dyDescent="0.35">
      <c r="A689" s="28"/>
      <c r="B689" s="28"/>
      <c r="C689" s="28" t="s">
        <v>2955</v>
      </c>
      <c r="D689" s="28"/>
    </row>
    <row r="690" spans="1:4" ht="12.75" customHeight="1" x14ac:dyDescent="0.35">
      <c r="A690" s="28"/>
      <c r="B690" s="28"/>
      <c r="C690" s="28" t="s">
        <v>2956</v>
      </c>
      <c r="D690" s="28"/>
    </row>
    <row r="691" spans="1:4" ht="12.75" customHeight="1" x14ac:dyDescent="0.35">
      <c r="A691" s="28"/>
      <c r="B691" s="28"/>
      <c r="C691" s="28" t="str">
        <f>C689</f>
        <v>Vieraan pääoman lisäykset (+) / lyhenn. (-)</v>
      </c>
      <c r="D691" s="28"/>
    </row>
    <row r="692" spans="1:4" ht="12.75" customHeight="1" x14ac:dyDescent="0.35">
      <c r="A692" s="28"/>
      <c r="B692" s="28"/>
      <c r="C692" s="28" t="s">
        <v>2957</v>
      </c>
      <c r="D692" s="28"/>
    </row>
    <row r="693" spans="1:4" ht="12.75" customHeight="1" x14ac:dyDescent="0.35">
      <c r="A693" s="28"/>
      <c r="B693" s="28"/>
      <c r="C693" s="28" t="s">
        <v>2958</v>
      </c>
      <c r="D693" s="28"/>
    </row>
    <row r="694" spans="1:4" ht="12.75" customHeight="1" x14ac:dyDescent="0.35">
      <c r="A694" s="28"/>
      <c r="B694" s="28"/>
      <c r="C694" s="1250" t="s">
        <v>5654</v>
      </c>
      <c r="D694" s="28"/>
    </row>
    <row r="695" spans="1:4" ht="12.75" customHeight="1" x14ac:dyDescent="0.35">
      <c r="A695" s="28"/>
      <c r="B695" s="28"/>
      <c r="C695" s="28" t="s">
        <v>2959</v>
      </c>
      <c r="D695" s="28"/>
    </row>
    <row r="696" spans="1:4" ht="12.75" customHeight="1" x14ac:dyDescent="0.35">
      <c r="A696" s="28"/>
      <c r="B696" s="28"/>
      <c r="C696" s="28" t="s">
        <v>2960</v>
      </c>
      <c r="D696" s="28"/>
    </row>
    <row r="697" spans="1:4" ht="12.75" customHeight="1" x14ac:dyDescent="0.35">
      <c r="A697" s="28"/>
      <c r="B697" s="28" t="s">
        <v>2961</v>
      </c>
      <c r="D697" s="28"/>
    </row>
    <row r="698" spans="1:4" ht="12.75" customHeight="1" x14ac:dyDescent="0.35">
      <c r="A698" s="28"/>
      <c r="B698" s="28" t="s">
        <v>2962</v>
      </c>
      <c r="D698" s="28"/>
    </row>
    <row r="699" spans="1:4" ht="12.75" customHeight="1" x14ac:dyDescent="0.35">
      <c r="A699" s="28"/>
      <c r="B699" s="28" t="s">
        <v>2963</v>
      </c>
      <c r="D699" s="28"/>
    </row>
    <row r="700" spans="1:4" ht="12.75" customHeight="1" x14ac:dyDescent="0.35">
      <c r="A700" s="28"/>
      <c r="B700" s="97" t="s">
        <v>2964</v>
      </c>
      <c r="D700" s="28"/>
    </row>
    <row r="701" spans="1:4" ht="12.75" customHeight="1" x14ac:dyDescent="0.35">
      <c r="A701" s="28"/>
      <c r="B701" s="28"/>
      <c r="C701" s="28" t="s">
        <v>2965</v>
      </c>
      <c r="D701" s="28"/>
    </row>
    <row r="702" spans="1:4" ht="12.75" customHeight="1" x14ac:dyDescent="0.35">
      <c r="A702" s="28"/>
      <c r="B702" s="28"/>
      <c r="C702" s="28" t="s">
        <v>2966</v>
      </c>
      <c r="D702" s="28"/>
    </row>
    <row r="703" spans="1:4" ht="12.75" customHeight="1" x14ac:dyDescent="0.35">
      <c r="A703" s="28"/>
      <c r="B703" s="28"/>
      <c r="C703" s="28" t="s">
        <v>2967</v>
      </c>
      <c r="D703" s="28"/>
    </row>
    <row r="704" spans="1:4" ht="12.75" customHeight="1" x14ac:dyDescent="0.35">
      <c r="A704" s="28"/>
      <c r="B704" s="28"/>
      <c r="C704" s="28" t="s">
        <v>2968</v>
      </c>
      <c r="D704" s="28"/>
    </row>
    <row r="705" spans="1:4" ht="12.75" customHeight="1" x14ac:dyDescent="0.35">
      <c r="A705" s="28"/>
      <c r="B705" s="28"/>
      <c r="C705" s="28" t="s">
        <v>2969</v>
      </c>
      <c r="D705" s="28"/>
    </row>
    <row r="706" spans="1:4" ht="12.75" customHeight="1" x14ac:dyDescent="0.35">
      <c r="A706" s="28"/>
      <c r="B706" s="28"/>
      <c r="C706" s="105" t="s">
        <v>2970</v>
      </c>
      <c r="D706" s="28"/>
    </row>
    <row r="707" spans="1:4" ht="12.75" customHeight="1" x14ac:dyDescent="0.35">
      <c r="A707" s="28"/>
      <c r="B707" s="28" t="s">
        <v>2971</v>
      </c>
      <c r="C707" s="28"/>
      <c r="D707" s="28"/>
    </row>
    <row r="708" spans="1:4" ht="12.75" customHeight="1" x14ac:dyDescent="0.35">
      <c r="A708" s="28"/>
      <c r="B708" s="28" t="s">
        <v>2972</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2973</v>
      </c>
      <c r="C712" s="28"/>
      <c r="D712" s="28"/>
    </row>
    <row r="713" spans="1:4" ht="12.75" customHeight="1" x14ac:dyDescent="0.35">
      <c r="A713" s="28"/>
      <c r="B713" s="28"/>
      <c r="C713" s="28"/>
      <c r="D713" s="28"/>
    </row>
    <row r="714" spans="1:4" ht="12.75" customHeight="1" x14ac:dyDescent="0.35">
      <c r="A714" s="28"/>
      <c r="B714" s="28" t="s">
        <v>2832</v>
      </c>
      <c r="C714" s="28"/>
      <c r="D714" s="28"/>
    </row>
    <row r="715" spans="1:4" ht="12.75" customHeight="1" x14ac:dyDescent="0.35">
      <c r="A715" s="28"/>
      <c r="B715" s="28" t="s">
        <v>2974</v>
      </c>
      <c r="C715" s="28"/>
      <c r="D715" s="28" t="s">
        <v>2975</v>
      </c>
    </row>
    <row r="716" spans="1:4" ht="12.75" customHeight="1" x14ac:dyDescent="0.35">
      <c r="A716" s="28"/>
      <c r="B716" s="28" t="s">
        <v>2976</v>
      </c>
      <c r="C716" s="28"/>
      <c r="D716" s="28"/>
    </row>
    <row r="717" spans="1:4" ht="12.75" customHeight="1" x14ac:dyDescent="0.35">
      <c r="A717" s="28"/>
      <c r="B717" s="28"/>
      <c r="C717" s="28" t="s">
        <v>2977</v>
      </c>
      <c r="D717" s="28"/>
    </row>
    <row r="718" spans="1:4" ht="12.75" customHeight="1" x14ac:dyDescent="0.35">
      <c r="A718" s="28"/>
      <c r="B718" s="28"/>
      <c r="C718" s="28" t="s">
        <v>2978</v>
      </c>
      <c r="D718" s="28"/>
    </row>
    <row r="719" spans="1:4" ht="12.75" customHeight="1" x14ac:dyDescent="0.35">
      <c r="A719" s="28"/>
      <c r="B719" s="28"/>
      <c r="C719" s="28" t="s">
        <v>2979</v>
      </c>
      <c r="D719" s="28"/>
    </row>
    <row r="720" spans="1:4" ht="12.75" customHeight="1" x14ac:dyDescent="0.35">
      <c r="A720" s="28"/>
      <c r="B720" s="28"/>
      <c r="C720" s="28" t="s">
        <v>2978</v>
      </c>
      <c r="D720" s="28"/>
    </row>
    <row r="721" spans="1:4" ht="12.75" customHeight="1" x14ac:dyDescent="0.35">
      <c r="A721" s="28"/>
      <c r="B721" s="28"/>
      <c r="C721" s="103" t="s">
        <v>2980</v>
      </c>
      <c r="D721" s="28"/>
    </row>
    <row r="722" spans="1:4" ht="12.75" customHeight="1" x14ac:dyDescent="0.35">
      <c r="A722" s="28"/>
      <c r="B722" s="28"/>
      <c r="C722" s="28" t="s">
        <v>2981</v>
      </c>
      <c r="D722" s="28"/>
    </row>
    <row r="723" spans="1:4" ht="12.75" customHeight="1" x14ac:dyDescent="0.35">
      <c r="A723" s="28"/>
      <c r="B723" s="28"/>
      <c r="C723" s="28" t="s">
        <v>2982</v>
      </c>
      <c r="D723" s="28"/>
    </row>
    <row r="724" spans="1:4" ht="12.75" customHeight="1" x14ac:dyDescent="0.35">
      <c r="A724" s="28"/>
      <c r="B724" s="28"/>
      <c r="C724" s="28" t="s">
        <v>2981</v>
      </c>
      <c r="D724" s="28"/>
    </row>
    <row r="725" spans="1:4" ht="12.75" customHeight="1" x14ac:dyDescent="0.35">
      <c r="A725" s="28"/>
      <c r="B725" s="28"/>
      <c r="C725" s="103" t="s">
        <v>2980</v>
      </c>
      <c r="D725" s="28"/>
    </row>
    <row r="726" spans="1:4" ht="12.75" customHeight="1" x14ac:dyDescent="0.35">
      <c r="A726" s="28"/>
      <c r="B726" s="28"/>
      <c r="C726" s="28" t="s">
        <v>2983</v>
      </c>
      <c r="D726" s="28"/>
    </row>
    <row r="727" spans="1:4" ht="12.75" customHeight="1" x14ac:dyDescent="0.35">
      <c r="A727" s="28"/>
      <c r="B727" s="28"/>
      <c r="C727" s="28" t="s">
        <v>2984</v>
      </c>
      <c r="D727" s="28"/>
    </row>
    <row r="728" spans="1:4" ht="12.75" customHeight="1" x14ac:dyDescent="0.35">
      <c r="A728" s="28"/>
      <c r="B728" s="28"/>
      <c r="C728" s="28" t="s">
        <v>2983</v>
      </c>
      <c r="D728" s="28"/>
    </row>
    <row r="729" spans="1:4" ht="12.75" customHeight="1" x14ac:dyDescent="0.35">
      <c r="A729" s="28"/>
      <c r="B729" s="28"/>
      <c r="C729" s="103" t="s">
        <v>2980</v>
      </c>
      <c r="D729" s="28"/>
    </row>
    <row r="730" spans="1:4" ht="12.75" customHeight="1" x14ac:dyDescent="0.35">
      <c r="A730" s="28"/>
      <c r="B730" s="28"/>
      <c r="C730" s="28" t="s">
        <v>2985</v>
      </c>
      <c r="D730" s="28"/>
    </row>
    <row r="731" spans="1:4" ht="12.75" customHeight="1" x14ac:dyDescent="0.35">
      <c r="A731" s="28"/>
      <c r="B731" s="28"/>
      <c r="C731" s="28" t="s">
        <v>2986</v>
      </c>
      <c r="D731" s="28"/>
    </row>
    <row r="732" spans="1:4" ht="12.75" customHeight="1" x14ac:dyDescent="0.35">
      <c r="A732" s="28"/>
      <c r="B732" s="28"/>
      <c r="C732" s="28" t="s">
        <v>2985</v>
      </c>
      <c r="D732" s="28"/>
    </row>
    <row r="733" spans="1:4" ht="12.75" customHeight="1" x14ac:dyDescent="0.35">
      <c r="A733" s="28"/>
      <c r="B733" s="28"/>
      <c r="C733" s="103" t="s">
        <v>2980</v>
      </c>
      <c r="D733" s="28"/>
    </row>
    <row r="734" spans="1:4" ht="12.75" customHeight="1" x14ac:dyDescent="0.35">
      <c r="A734" s="28"/>
      <c r="B734" s="28"/>
      <c r="C734" s="28" t="s">
        <v>2987</v>
      </c>
      <c r="D734" s="28"/>
    </row>
    <row r="735" spans="1:4" ht="12.75" customHeight="1" x14ac:dyDescent="0.35">
      <c r="A735" s="28"/>
      <c r="B735" s="28"/>
      <c r="C735" s="28" t="s">
        <v>2988</v>
      </c>
      <c r="D735" s="28"/>
    </row>
    <row r="736" spans="1:4" ht="12.75" customHeight="1" x14ac:dyDescent="0.35">
      <c r="A736" s="28"/>
      <c r="B736" s="28"/>
      <c r="C736" s="28" t="s">
        <v>2989</v>
      </c>
      <c r="D736" s="28"/>
    </row>
    <row r="737" spans="1:4" ht="12.75" customHeight="1" x14ac:dyDescent="0.35">
      <c r="A737" s="28"/>
      <c r="B737" s="28"/>
      <c r="C737" s="28" t="s">
        <v>2988</v>
      </c>
      <c r="D737" s="28"/>
    </row>
    <row r="738" spans="1:4" ht="12.75" customHeight="1" x14ac:dyDescent="0.35">
      <c r="A738" s="28"/>
      <c r="B738" s="28"/>
      <c r="C738" s="103" t="s">
        <v>2980</v>
      </c>
      <c r="D738" s="28"/>
    </row>
    <row r="739" spans="1:4" ht="12.75" customHeight="1" x14ac:dyDescent="0.35">
      <c r="A739" s="28"/>
      <c r="B739" s="28"/>
      <c r="C739" s="28" t="s">
        <v>2990</v>
      </c>
      <c r="D739" s="28"/>
    </row>
    <row r="740" spans="1:4" ht="12.75" customHeight="1" x14ac:dyDescent="0.35">
      <c r="A740" s="28"/>
      <c r="B740" s="28"/>
      <c r="C740" s="28" t="s">
        <v>2991</v>
      </c>
      <c r="D740" s="28"/>
    </row>
    <row r="741" spans="1:4" ht="12.75" customHeight="1" x14ac:dyDescent="0.35">
      <c r="A741" s="28"/>
      <c r="B741" s="28"/>
      <c r="C741" s="28" t="s">
        <v>2990</v>
      </c>
      <c r="D741" s="28"/>
    </row>
    <row r="742" spans="1:4" ht="12.75" customHeight="1" x14ac:dyDescent="0.35">
      <c r="A742" s="28"/>
      <c r="B742" s="28"/>
      <c r="C742" s="103" t="s">
        <v>2980</v>
      </c>
      <c r="D742" s="28"/>
    </row>
    <row r="743" spans="1:4" ht="12.75" customHeight="1" x14ac:dyDescent="0.35">
      <c r="A743" s="28"/>
      <c r="B743" s="28"/>
      <c r="C743" s="28" t="s">
        <v>2992</v>
      </c>
      <c r="D743" s="28"/>
    </row>
    <row r="744" spans="1:4" ht="12.75" customHeight="1" x14ac:dyDescent="0.35">
      <c r="A744" s="28"/>
      <c r="B744" s="28"/>
      <c r="C744" s="28" t="s">
        <v>2993</v>
      </c>
      <c r="D744" s="28"/>
    </row>
    <row r="745" spans="1:4" ht="12.75" customHeight="1" x14ac:dyDescent="0.35">
      <c r="A745" s="28"/>
      <c r="B745" s="28"/>
      <c r="C745" s="28" t="s">
        <v>2992</v>
      </c>
      <c r="D745" s="28"/>
    </row>
    <row r="746" spans="1:4" ht="12.75" customHeight="1" x14ac:dyDescent="0.35">
      <c r="A746" s="28"/>
      <c r="B746" s="28"/>
      <c r="C746" s="103" t="s">
        <v>2980</v>
      </c>
      <c r="D746" s="28"/>
    </row>
    <row r="747" spans="1:4" ht="12.75" customHeight="1" x14ac:dyDescent="0.35">
      <c r="A747" s="28"/>
      <c r="B747" s="28"/>
      <c r="C747" s="106" t="s">
        <v>2994</v>
      </c>
      <c r="D747" s="28"/>
    </row>
    <row r="748" spans="1:4" ht="12.75" customHeight="1" x14ac:dyDescent="0.35">
      <c r="A748" s="28"/>
      <c r="B748" s="28"/>
      <c r="C748" s="106" t="s">
        <v>2995</v>
      </c>
      <c r="D748" s="28"/>
    </row>
    <row r="749" spans="1:4" ht="12.75" customHeight="1" x14ac:dyDescent="0.35">
      <c r="A749" s="28"/>
      <c r="B749" s="28"/>
      <c r="C749" s="106" t="s">
        <v>2994</v>
      </c>
      <c r="D749" s="28"/>
    </row>
    <row r="750" spans="1:4" ht="12.75" customHeight="1" x14ac:dyDescent="0.35">
      <c r="A750" s="28"/>
      <c r="B750" s="28"/>
      <c r="C750" s="106" t="s">
        <v>2980</v>
      </c>
      <c r="D750" s="28"/>
    </row>
    <row r="751" spans="1:4" ht="12.75" customHeight="1" x14ac:dyDescent="0.35">
      <c r="A751" s="28"/>
      <c r="B751" s="28"/>
      <c r="C751" s="28" t="s">
        <v>2996</v>
      </c>
      <c r="D751" s="28"/>
    </row>
    <row r="752" spans="1:4" ht="12.75" customHeight="1" x14ac:dyDescent="0.35">
      <c r="A752" s="28"/>
      <c r="B752" s="28"/>
      <c r="C752" s="28" t="s">
        <v>2997</v>
      </c>
      <c r="D752" s="28"/>
    </row>
    <row r="753" spans="1:4" ht="12.75" customHeight="1" x14ac:dyDescent="0.35">
      <c r="A753" s="28"/>
      <c r="B753" s="28"/>
      <c r="C753" s="28" t="s">
        <v>2996</v>
      </c>
      <c r="D753" s="28"/>
    </row>
    <row r="754" spans="1:4" ht="12.75" customHeight="1" x14ac:dyDescent="0.35">
      <c r="A754" s="28"/>
      <c r="B754" s="28"/>
      <c r="C754" s="103" t="s">
        <v>2980</v>
      </c>
      <c r="D754" s="28"/>
    </row>
    <row r="755" spans="1:4" ht="12.75" customHeight="1" x14ac:dyDescent="0.35">
      <c r="A755" s="28"/>
      <c r="B755" s="28"/>
      <c r="C755" s="28" t="s">
        <v>2998</v>
      </c>
      <c r="D755" s="28"/>
    </row>
    <row r="756" spans="1:4" ht="12.75" customHeight="1" x14ac:dyDescent="0.35">
      <c r="A756" s="28"/>
      <c r="B756" s="28"/>
      <c r="C756" s="28" t="s">
        <v>2999</v>
      </c>
      <c r="D756" s="28"/>
    </row>
    <row r="757" spans="1:4" ht="12.75" customHeight="1" x14ac:dyDescent="0.35">
      <c r="A757" s="28"/>
      <c r="B757" s="28"/>
      <c r="C757" s="28" t="s">
        <v>3000</v>
      </c>
      <c r="D757" s="28"/>
    </row>
    <row r="758" spans="1:4" ht="12.75" customHeight="1" x14ac:dyDescent="0.35">
      <c r="A758" s="28"/>
      <c r="B758" s="28"/>
      <c r="C758" s="28" t="s">
        <v>2999</v>
      </c>
      <c r="D758" s="28"/>
    </row>
    <row r="759" spans="1:4" ht="12.75" customHeight="1" x14ac:dyDescent="0.35">
      <c r="A759" s="28"/>
      <c r="B759" s="28"/>
      <c r="C759" s="103" t="s">
        <v>2980</v>
      </c>
      <c r="D759" s="28"/>
    </row>
    <row r="760" spans="1:4" ht="12.75" customHeight="1" x14ac:dyDescent="0.35">
      <c r="A760" s="28"/>
      <c r="B760" s="28"/>
      <c r="C760" s="103" t="s">
        <v>3001</v>
      </c>
      <c r="D760" s="28"/>
    </row>
    <row r="761" spans="1:4" ht="12.75" customHeight="1" x14ac:dyDescent="0.35">
      <c r="A761" s="28"/>
      <c r="B761" s="28"/>
      <c r="C761" s="103" t="s">
        <v>3002</v>
      </c>
      <c r="D761" s="28"/>
    </row>
    <row r="762" spans="1:4" ht="12.75" customHeight="1" x14ac:dyDescent="0.35">
      <c r="A762" s="28"/>
      <c r="B762" s="28"/>
      <c r="C762" s="103" t="s">
        <v>3001</v>
      </c>
      <c r="D762" s="28"/>
    </row>
    <row r="763" spans="1:4" ht="12.75" customHeight="1" x14ac:dyDescent="0.35">
      <c r="A763" s="28"/>
      <c r="B763" s="28"/>
      <c r="C763" s="103" t="s">
        <v>2980</v>
      </c>
      <c r="D763" s="28"/>
    </row>
    <row r="764" spans="1:4" ht="12.75" customHeight="1" x14ac:dyDescent="0.35">
      <c r="A764" s="28"/>
      <c r="B764" s="28"/>
      <c r="C764" s="28" t="s">
        <v>3003</v>
      </c>
      <c r="D764" s="28"/>
    </row>
    <row r="765" spans="1:4" ht="12.75" customHeight="1" x14ac:dyDescent="0.35">
      <c r="A765" s="28"/>
      <c r="B765" s="28"/>
      <c r="C765" s="28" t="s">
        <v>3004</v>
      </c>
      <c r="D765" s="28"/>
    </row>
    <row r="766" spans="1:4" ht="12.75" customHeight="1" x14ac:dyDescent="0.35">
      <c r="A766" s="28"/>
      <c r="B766" s="28"/>
      <c r="C766" s="28" t="s">
        <v>3003</v>
      </c>
      <c r="D766" s="28"/>
    </row>
    <row r="767" spans="1:4" ht="12.75" customHeight="1" x14ac:dyDescent="0.35">
      <c r="A767" s="28"/>
      <c r="B767" s="28"/>
      <c r="C767" s="103" t="s">
        <v>2980</v>
      </c>
      <c r="D767" s="28"/>
    </row>
    <row r="768" spans="1:4" ht="12.75" customHeight="1" x14ac:dyDescent="0.35">
      <c r="A768" s="28"/>
      <c r="B768" s="28"/>
      <c r="C768" s="28" t="s">
        <v>3005</v>
      </c>
      <c r="D768" s="28"/>
    </row>
    <row r="769" spans="1:4" ht="12.75" customHeight="1" x14ac:dyDescent="0.35">
      <c r="A769" s="28"/>
      <c r="B769" s="28"/>
      <c r="C769" s="28" t="s">
        <v>3006</v>
      </c>
      <c r="D769" s="28"/>
    </row>
    <row r="770" spans="1:4" ht="12.75" customHeight="1" x14ac:dyDescent="0.35">
      <c r="A770" s="28"/>
      <c r="B770" s="28"/>
      <c r="C770" s="28" t="s">
        <v>3005</v>
      </c>
      <c r="D770" s="28"/>
    </row>
    <row r="771" spans="1:4" ht="12.75" customHeight="1" x14ac:dyDescent="0.35">
      <c r="A771" s="28"/>
      <c r="B771" s="28"/>
      <c r="C771" s="103" t="s">
        <v>2980</v>
      </c>
      <c r="D771" s="28"/>
    </row>
    <row r="772" spans="1:4" ht="12.75" customHeight="1" x14ac:dyDescent="0.35">
      <c r="A772" s="28"/>
      <c r="B772" s="28"/>
      <c r="C772" s="28" t="s">
        <v>3007</v>
      </c>
      <c r="D772" s="28"/>
    </row>
    <row r="773" spans="1:4" ht="12.75" customHeight="1" x14ac:dyDescent="0.35">
      <c r="A773" s="28"/>
      <c r="B773" s="28" t="s">
        <v>3008</v>
      </c>
      <c r="C773" s="28"/>
      <c r="D773" s="28"/>
    </row>
    <row r="774" spans="1:4" ht="12.75" customHeight="1" x14ac:dyDescent="0.35">
      <c r="A774" s="28"/>
      <c r="B774" s="28"/>
      <c r="C774" s="28" t="s">
        <v>2934</v>
      </c>
      <c r="D774" s="28"/>
    </row>
    <row r="775" spans="1:4" ht="12.75" customHeight="1" x14ac:dyDescent="0.35">
      <c r="A775" s="28"/>
      <c r="B775" s="28"/>
      <c r="C775" s="28" t="s">
        <v>2929</v>
      </c>
      <c r="D775" s="28"/>
    </row>
    <row r="776" spans="1:4" ht="12.75" customHeight="1" x14ac:dyDescent="0.35">
      <c r="A776" s="28"/>
      <c r="B776" s="28"/>
      <c r="C776" s="1250" t="s">
        <v>5615</v>
      </c>
      <c r="D776" s="28"/>
    </row>
    <row r="777" spans="1:4" ht="12.75" customHeight="1" x14ac:dyDescent="0.35">
      <c r="A777" s="28"/>
      <c r="B777" s="28"/>
      <c r="C777" s="28" t="s">
        <v>2931</v>
      </c>
      <c r="D777" s="28"/>
    </row>
    <row r="778" spans="1:4" ht="12.75" customHeight="1" x14ac:dyDescent="0.35">
      <c r="A778" s="28"/>
      <c r="B778" s="28"/>
      <c r="C778" s="1250" t="s">
        <v>5622</v>
      </c>
      <c r="D778" s="28"/>
    </row>
    <row r="779" spans="1:4" ht="12.75" customHeight="1" x14ac:dyDescent="0.35">
      <c r="A779" s="28"/>
      <c r="B779" s="28"/>
      <c r="C779" s="28" t="s">
        <v>3009</v>
      </c>
      <c r="D779" s="28"/>
    </row>
    <row r="780" spans="1:4" ht="12.75" customHeight="1" x14ac:dyDescent="0.35">
      <c r="A780" s="28"/>
      <c r="B780" s="28"/>
      <c r="C780" s="28" t="s">
        <v>3010</v>
      </c>
      <c r="D780" s="28"/>
    </row>
    <row r="781" spans="1:4" ht="12.75" customHeight="1" x14ac:dyDescent="0.35">
      <c r="A781" s="28"/>
      <c r="B781" s="28" t="s">
        <v>2974</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3011</v>
      </c>
      <c r="C794" s="28"/>
      <c r="D794" s="28"/>
    </row>
    <row r="795" spans="1:4" ht="12.75" customHeight="1" x14ac:dyDescent="0.35">
      <c r="A795" s="28"/>
      <c r="B795" s="28" t="s">
        <v>3012</v>
      </c>
      <c r="C795" s="28"/>
      <c r="D795" s="28"/>
    </row>
    <row r="796" spans="1:4" ht="12.75" customHeight="1" x14ac:dyDescent="0.35">
      <c r="A796" s="28"/>
      <c r="B796" s="28" t="s">
        <v>3013</v>
      </c>
      <c r="C796" s="28"/>
      <c r="D796" s="28"/>
    </row>
    <row r="797" spans="1:4" ht="12.75" customHeight="1" x14ac:dyDescent="0.35">
      <c r="A797" s="28"/>
      <c r="B797" s="28"/>
      <c r="C797" s="28"/>
      <c r="D797" s="28"/>
    </row>
    <row r="798" spans="1:4" ht="12.75" customHeight="1" x14ac:dyDescent="0.35">
      <c r="A798" s="28"/>
      <c r="B798" s="28" t="s">
        <v>3014</v>
      </c>
      <c r="C798" s="28"/>
      <c r="D798" s="28"/>
    </row>
    <row r="799" spans="1:4" ht="12.75" customHeight="1" x14ac:dyDescent="0.35">
      <c r="A799" s="28"/>
      <c r="B799" s="28" t="s">
        <v>2873</v>
      </c>
      <c r="C799" s="28"/>
      <c r="D799" s="28"/>
    </row>
    <row r="800" spans="1:4" ht="12.75" customHeight="1" x14ac:dyDescent="0.35">
      <c r="A800" s="28"/>
      <c r="B800" s="28"/>
      <c r="C800" s="28" t="s">
        <v>2853</v>
      </c>
      <c r="D800" s="28"/>
    </row>
    <row r="801" spans="1:4" ht="12.75" customHeight="1" x14ac:dyDescent="0.35">
      <c r="A801" s="28"/>
      <c r="B801" s="28"/>
      <c r="C801" s="28" t="s">
        <v>2854</v>
      </c>
      <c r="D801" s="28"/>
    </row>
    <row r="802" spans="1:4" ht="12.75" customHeight="1" x14ac:dyDescent="0.35">
      <c r="A802" s="28"/>
      <c r="B802" s="28"/>
      <c r="C802" s="28" t="s">
        <v>2855</v>
      </c>
      <c r="D802" s="28"/>
    </row>
    <row r="803" spans="1:4" ht="12.75" customHeight="1" x14ac:dyDescent="0.35">
      <c r="A803" s="28"/>
      <c r="B803" s="28"/>
      <c r="C803" s="28" t="s">
        <v>2856</v>
      </c>
      <c r="D803" s="28"/>
    </row>
    <row r="804" spans="1:4" ht="12.75" customHeight="1" x14ac:dyDescent="0.35">
      <c r="A804" s="28"/>
      <c r="B804" s="28"/>
      <c r="C804" s="28" t="s">
        <v>2857</v>
      </c>
      <c r="D804" s="28"/>
    </row>
    <row r="805" spans="1:4" ht="12.75" customHeight="1" x14ac:dyDescent="0.35">
      <c r="A805" s="28"/>
      <c r="B805" s="28"/>
      <c r="C805" s="28" t="s">
        <v>3015</v>
      </c>
      <c r="D805" s="28"/>
    </row>
    <row r="806" spans="1:4" ht="12.75" customHeight="1" x14ac:dyDescent="0.35">
      <c r="A806" s="28"/>
      <c r="B806" s="28" t="s">
        <v>3016</v>
      </c>
      <c r="C806" s="28"/>
      <c r="D806" s="28"/>
    </row>
    <row r="807" spans="1:4" ht="12.75" customHeight="1" x14ac:dyDescent="0.35">
      <c r="A807" s="28"/>
      <c r="B807" s="105" t="s">
        <v>3017</v>
      </c>
      <c r="C807" s="28"/>
      <c r="D807" s="28"/>
    </row>
    <row r="808" spans="1:4" ht="12.75" customHeight="1" x14ac:dyDescent="0.35">
      <c r="A808" s="28"/>
      <c r="B808" s="28" t="s">
        <v>2919</v>
      </c>
      <c r="C808" s="28"/>
      <c r="D808" s="28"/>
    </row>
    <row r="809" spans="1:4" ht="12.75" customHeight="1" x14ac:dyDescent="0.35">
      <c r="A809" s="28"/>
      <c r="B809" s="28" t="s">
        <v>3018</v>
      </c>
      <c r="C809" s="28"/>
      <c r="D809" s="28"/>
    </row>
    <row r="810" spans="1:4" ht="12.75" customHeight="1" x14ac:dyDescent="0.35">
      <c r="A810" s="28"/>
      <c r="B810" s="28"/>
      <c r="C810" s="28" t="s">
        <v>3019</v>
      </c>
      <c r="D810" s="28"/>
    </row>
    <row r="811" spans="1:4" ht="12.75" customHeight="1" x14ac:dyDescent="0.35">
      <c r="A811" s="28"/>
      <c r="B811" s="28"/>
      <c r="C811" s="28" t="s">
        <v>3020</v>
      </c>
      <c r="D811" s="28"/>
    </row>
    <row r="812" spans="1:4" ht="12.75" customHeight="1" x14ac:dyDescent="0.35">
      <c r="A812" s="28"/>
      <c r="B812" s="28"/>
      <c r="C812" s="1250" t="s">
        <v>5661</v>
      </c>
      <c r="D812" s="28"/>
    </row>
    <row r="813" spans="1:4" ht="12.75" customHeight="1" x14ac:dyDescent="0.35">
      <c r="A813" s="28"/>
      <c r="B813" s="28"/>
      <c r="C813" s="28" t="s">
        <v>3021</v>
      </c>
      <c r="D813" s="28"/>
    </row>
    <row r="814" spans="1:4" ht="12.75" customHeight="1" x14ac:dyDescent="0.35">
      <c r="A814" s="28"/>
      <c r="B814" s="28"/>
      <c r="C814" s="105" t="s">
        <v>3022</v>
      </c>
      <c r="D814" s="28"/>
    </row>
    <row r="815" spans="1:4" ht="12.75" customHeight="1" x14ac:dyDescent="0.35">
      <c r="A815" s="28"/>
      <c r="B815" s="28"/>
      <c r="C815" s="28" t="s">
        <v>2831</v>
      </c>
      <c r="D815" s="28"/>
    </row>
    <row r="816" spans="1:4" ht="12.75" customHeight="1" x14ac:dyDescent="0.35">
      <c r="A816" s="28"/>
      <c r="B816" s="28"/>
      <c r="C816" s="28" t="s">
        <v>3023</v>
      </c>
      <c r="D816" s="28"/>
    </row>
    <row r="817" spans="1:4" ht="12.75" customHeight="1" x14ac:dyDescent="0.35">
      <c r="A817" s="28"/>
      <c r="B817" s="28"/>
      <c r="C817" s="28" t="s">
        <v>3024</v>
      </c>
      <c r="D817" s="28"/>
    </row>
    <row r="818" spans="1:4" ht="12.75" customHeight="1" x14ac:dyDescent="0.35">
      <c r="A818" s="28"/>
      <c r="B818" s="28"/>
      <c r="C818" s="28" t="s">
        <v>3025</v>
      </c>
      <c r="D818" s="28"/>
    </row>
    <row r="819" spans="1:4" ht="12.75" customHeight="1" x14ac:dyDescent="0.35">
      <c r="A819" s="28"/>
      <c r="B819" s="28"/>
      <c r="C819" s="28" t="s">
        <v>3026</v>
      </c>
      <c r="D819" s="28"/>
    </row>
    <row r="820" spans="1:4" ht="12.75" customHeight="1" x14ac:dyDescent="0.35">
      <c r="A820" s="28"/>
      <c r="B820" s="28"/>
      <c r="C820" s="28" t="s">
        <v>3027</v>
      </c>
      <c r="D820" s="28"/>
    </row>
    <row r="821" spans="1:4" ht="12.75" customHeight="1" x14ac:dyDescent="0.35">
      <c r="A821" s="28"/>
      <c r="B821" s="28"/>
      <c r="C821" s="28" t="s">
        <v>2936</v>
      </c>
      <c r="D821" s="28"/>
    </row>
    <row r="822" spans="1:4" ht="12.75" customHeight="1" x14ac:dyDescent="0.35">
      <c r="A822" s="28"/>
      <c r="B822" s="28"/>
      <c r="C822" s="1250" t="s">
        <v>5634</v>
      </c>
      <c r="D822" s="28"/>
    </row>
    <row r="823" spans="1:4" ht="12.75" customHeight="1" x14ac:dyDescent="0.35">
      <c r="A823" s="28"/>
      <c r="B823" s="28"/>
      <c r="C823" s="28" t="s">
        <v>3028</v>
      </c>
      <c r="D823" s="28"/>
    </row>
    <row r="824" spans="1:4" ht="12.75" customHeight="1" x14ac:dyDescent="0.35">
      <c r="A824" s="28"/>
      <c r="B824" s="28"/>
      <c r="C824" s="1250" t="s">
        <v>5646</v>
      </c>
      <c r="D824" s="28"/>
    </row>
    <row r="825" spans="1:4" ht="12.75" customHeight="1" x14ac:dyDescent="0.35">
      <c r="A825" s="28"/>
      <c r="B825" s="28"/>
      <c r="C825" s="28" t="s">
        <v>3029</v>
      </c>
      <c r="D825" s="28"/>
    </row>
    <row r="826" spans="1:4" ht="12.75" customHeight="1" x14ac:dyDescent="0.35">
      <c r="A826" s="28"/>
      <c r="B826" s="28"/>
      <c r="C826" s="28" t="s">
        <v>2860</v>
      </c>
      <c r="D826" s="28"/>
    </row>
    <row r="827" spans="1:4" ht="12.75" customHeight="1" x14ac:dyDescent="0.35">
      <c r="A827" s="28"/>
      <c r="B827" s="28"/>
      <c r="C827" s="28" t="s">
        <v>3030</v>
      </c>
      <c r="D827" s="28"/>
    </row>
    <row r="828" spans="1:4" ht="12.75" customHeight="1" x14ac:dyDescent="0.35">
      <c r="A828" s="28"/>
      <c r="B828" s="28" t="s">
        <v>3014</v>
      </c>
      <c r="C828" s="28"/>
      <c r="D828" s="28"/>
    </row>
    <row r="829" spans="1:4" ht="12.75" customHeight="1" x14ac:dyDescent="0.35">
      <c r="A829" s="28"/>
      <c r="B829" s="28" t="s">
        <v>3031</v>
      </c>
      <c r="C829" s="28"/>
      <c r="D829" s="28"/>
    </row>
    <row r="830" spans="1:4" ht="12.75" customHeight="1" x14ac:dyDescent="0.35">
      <c r="A830" s="28"/>
      <c r="B830" s="28" t="s">
        <v>2871</v>
      </c>
      <c r="C830" s="28"/>
      <c r="D830" s="28"/>
    </row>
    <row r="831" spans="1:4" ht="12.75" customHeight="1" x14ac:dyDescent="0.35">
      <c r="A831" s="28"/>
      <c r="B831" s="28" t="s">
        <v>2919</v>
      </c>
      <c r="C831" s="28"/>
      <c r="D831" s="28"/>
    </row>
    <row r="832" spans="1:4" ht="12.75" customHeight="1" x14ac:dyDescent="0.35">
      <c r="A832" s="28"/>
      <c r="B832" s="28" t="s">
        <v>2860</v>
      </c>
      <c r="C832" s="28"/>
      <c r="D832" s="28"/>
    </row>
    <row r="833" spans="1:4" ht="12.75" customHeight="1" x14ac:dyDescent="0.35">
      <c r="A833" s="28"/>
      <c r="B833" s="28" t="s">
        <v>2874</v>
      </c>
      <c r="C833" s="28"/>
      <c r="D833" s="28"/>
    </row>
    <row r="834" spans="1:4" ht="12.75" customHeight="1" x14ac:dyDescent="0.35">
      <c r="A834" s="28"/>
      <c r="B834" s="28" t="s">
        <v>3024</v>
      </c>
      <c r="C834" s="28"/>
      <c r="D834" s="28"/>
    </row>
    <row r="835" spans="1:4" ht="12.75" customHeight="1" x14ac:dyDescent="0.35">
      <c r="A835" s="28"/>
      <c r="B835" s="28" t="s">
        <v>3032</v>
      </c>
      <c r="C835" s="28"/>
      <c r="D835" s="28"/>
    </row>
    <row r="836" spans="1:4" ht="12.75" customHeight="1" x14ac:dyDescent="0.35">
      <c r="A836" s="28"/>
      <c r="B836" s="28" t="s">
        <v>3033</v>
      </c>
      <c r="C836" s="28"/>
      <c r="D836" s="28"/>
    </row>
    <row r="837" spans="1:4" ht="12.75" customHeight="1" x14ac:dyDescent="0.35">
      <c r="A837" s="28"/>
      <c r="B837" s="28"/>
      <c r="C837" s="28"/>
      <c r="D837" s="28"/>
    </row>
    <row r="838" spans="1:4" ht="12.75" customHeight="1" x14ac:dyDescent="0.35">
      <c r="A838" s="28"/>
      <c r="B838" s="28" t="s">
        <v>3034</v>
      </c>
      <c r="C838" s="28"/>
      <c r="D838" s="28"/>
    </row>
    <row r="839" spans="1:4" ht="12.75" customHeight="1" x14ac:dyDescent="0.35">
      <c r="A839" s="28"/>
      <c r="B839" s="6" t="s">
        <v>3035</v>
      </c>
      <c r="C839" s="28"/>
      <c r="D839" s="28"/>
    </row>
    <row r="840" spans="1:4" ht="12.75" customHeight="1" x14ac:dyDescent="0.35">
      <c r="A840" s="28"/>
      <c r="B840" s="6" t="s">
        <v>2952</v>
      </c>
      <c r="C840" s="28"/>
      <c r="D840" s="28"/>
    </row>
    <row r="841" spans="1:4" ht="12.75" customHeight="1" x14ac:dyDescent="0.35">
      <c r="A841" s="28"/>
      <c r="B841" s="28" t="s">
        <v>3036</v>
      </c>
      <c r="C841" s="28"/>
      <c r="D841" s="28"/>
    </row>
    <row r="842" spans="1:4" ht="12.75" customHeight="1" x14ac:dyDescent="0.35"/>
    <row r="843" spans="1:4" ht="12.75" customHeight="1" x14ac:dyDescent="0.35"/>
    <row r="844" spans="1:4" ht="12.75" customHeight="1" x14ac:dyDescent="0.35"/>
    <row r="845" spans="1:4" ht="12.75" customHeight="1" x14ac:dyDescent="0.35">
      <c r="B845" s="97" t="s">
        <v>3037</v>
      </c>
    </row>
    <row r="846" spans="1:4" ht="12.75" customHeight="1" x14ac:dyDescent="0.35"/>
    <row r="847" spans="1:4" ht="12.75" customHeight="1" x14ac:dyDescent="0.35">
      <c r="B847" s="28" t="s">
        <v>2832</v>
      </c>
    </row>
  </sheetData>
  <printOptions gridLines="1"/>
  <pageMargins left="0.75" right="0.75" top="1" bottom="1" header="0.5" footer="0.5"/>
  <pageSetup paperSize="9" orientation="portrait" r:id="rId1"/>
  <headerFooter>
    <oddHeader>&amp;C&amp;A</oddHeader>
    <oddFooter>&amp;CPage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autoPageBreaks="0"/>
  </sheetPr>
  <dimension ref="A1:D847"/>
  <sheetViews>
    <sheetView topLeftCell="A418" workbookViewId="0">
      <selection activeCell="F466" sqref="F466"/>
    </sheetView>
  </sheetViews>
  <sheetFormatPr defaultColWidth="9.1796875" defaultRowHeight="14.5" x14ac:dyDescent="0.35"/>
  <cols>
    <col min="1" max="1" width="0.81640625" style="97" customWidth="1"/>
    <col min="2" max="16384" width="9.1796875" style="97"/>
  </cols>
  <sheetData>
    <row r="1" spans="1:4" ht="12.75" customHeight="1" x14ac:dyDescent="0.35">
      <c r="A1" s="28"/>
      <c r="B1" s="28" t="s">
        <v>3038</v>
      </c>
      <c r="C1" s="28"/>
      <c r="D1" s="28"/>
    </row>
    <row r="2" spans="1:4" ht="12.75" customHeight="1" x14ac:dyDescent="0.35">
      <c r="A2" s="28"/>
      <c r="B2" s="28" t="s">
        <v>3039</v>
      </c>
      <c r="C2" s="28"/>
      <c r="D2" s="28"/>
    </row>
    <row r="3" spans="1:4" ht="12.75" customHeight="1" x14ac:dyDescent="0.35">
      <c r="A3" s="28"/>
      <c r="B3" s="28" t="s">
        <v>3040</v>
      </c>
      <c r="C3" s="28"/>
      <c r="D3" s="28"/>
    </row>
    <row r="4" spans="1:4" ht="12.75" customHeight="1" x14ac:dyDescent="0.35">
      <c r="A4" s="28"/>
      <c r="B4" s="28" t="s">
        <v>3041</v>
      </c>
      <c r="C4" s="28"/>
      <c r="D4" s="28"/>
    </row>
    <row r="5" spans="1:4" ht="12.75" customHeight="1" x14ac:dyDescent="0.35">
      <c r="A5" s="28"/>
      <c r="B5" s="28" t="s">
        <v>47</v>
      </c>
      <c r="C5" s="28"/>
      <c r="D5" s="28"/>
    </row>
    <row r="6" spans="1:4" ht="12.75" customHeight="1" x14ac:dyDescent="0.35">
      <c r="A6" s="28"/>
      <c r="B6" s="28" t="s">
        <v>3042</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3043</v>
      </c>
      <c r="C11" s="28"/>
      <c r="D11" s="28"/>
    </row>
    <row r="12" spans="1:4" ht="12.75" customHeight="1" x14ac:dyDescent="0.35">
      <c r="A12" s="28"/>
      <c r="B12" s="28" t="s">
        <v>3044</v>
      </c>
      <c r="C12" s="28"/>
      <c r="D12" s="28"/>
    </row>
    <row r="13" spans="1:4" ht="12.75" customHeight="1" x14ac:dyDescent="0.35">
      <c r="A13" s="28"/>
      <c r="B13" s="28" t="s">
        <v>5114</v>
      </c>
      <c r="C13" s="28"/>
      <c r="D13" s="28"/>
    </row>
    <row r="14" spans="1:4" ht="12.75" customHeight="1" x14ac:dyDescent="0.35">
      <c r="A14" s="28"/>
      <c r="B14" s="28"/>
      <c r="C14" s="28"/>
      <c r="D14" s="28"/>
    </row>
    <row r="15" spans="1:4" ht="12.75" customHeight="1" x14ac:dyDescent="0.35">
      <c r="A15" s="28"/>
      <c r="B15" s="28" t="s">
        <v>3045</v>
      </c>
      <c r="C15" s="28"/>
      <c r="D15" s="28"/>
    </row>
    <row r="16" spans="1:4" ht="12.75" customHeight="1" x14ac:dyDescent="0.35">
      <c r="A16" s="28"/>
      <c r="B16" s="28"/>
      <c r="C16" s="28"/>
      <c r="D16" s="28"/>
    </row>
    <row r="17" spans="1:4" ht="12.75" customHeight="1" x14ac:dyDescent="0.35">
      <c r="A17" s="28"/>
      <c r="B17" s="28" t="s">
        <v>3044</v>
      </c>
      <c r="C17" s="28"/>
      <c r="D17" s="28" t="s">
        <v>3047</v>
      </c>
    </row>
    <row r="18" spans="1:4" ht="12.75" customHeight="1" x14ac:dyDescent="0.35">
      <c r="A18" s="28"/>
      <c r="B18" s="28"/>
      <c r="C18" s="28"/>
      <c r="D18" s="28"/>
    </row>
    <row r="19" spans="1:4" ht="12.75" customHeight="1" x14ac:dyDescent="0.35">
      <c r="A19" s="28"/>
      <c r="B19" s="28"/>
      <c r="C19" s="1377" t="s">
        <v>6306</v>
      </c>
      <c r="D19" s="28"/>
    </row>
    <row r="20" spans="1:4" ht="12.75" customHeight="1" x14ac:dyDescent="0.35">
      <c r="A20" s="28"/>
      <c r="B20" s="53" t="s">
        <v>6249</v>
      </c>
      <c r="C20" s="28"/>
      <c r="D20" s="28"/>
    </row>
    <row r="21" spans="1:4" ht="12.75" customHeight="1" x14ac:dyDescent="0.35">
      <c r="A21" s="28"/>
      <c r="B21" s="53"/>
      <c r="C21" s="28" t="s">
        <v>3048</v>
      </c>
      <c r="D21" s="28"/>
    </row>
    <row r="22" spans="1:4" ht="12.75" customHeight="1" x14ac:dyDescent="0.35">
      <c r="A22" s="28"/>
      <c r="B22" s="53"/>
      <c r="C22" s="28"/>
      <c r="D22" s="28"/>
    </row>
    <row r="23" spans="1:4" ht="12.75" customHeight="1" x14ac:dyDescent="0.35">
      <c r="A23" s="28"/>
      <c r="B23" s="53"/>
      <c r="C23" s="28"/>
      <c r="D23" s="28"/>
    </row>
    <row r="24" spans="1:4" ht="12.75" customHeight="1" x14ac:dyDescent="0.35">
      <c r="A24" s="28"/>
      <c r="B24" s="53" t="s">
        <v>5117</v>
      </c>
      <c r="C24" s="28"/>
      <c r="D24" s="28"/>
    </row>
    <row r="25" spans="1:4" ht="12.75" customHeight="1" x14ac:dyDescent="0.35">
      <c r="A25" s="28"/>
      <c r="B25" s="53"/>
      <c r="C25" s="104" t="s">
        <v>3049</v>
      </c>
      <c r="D25" s="28"/>
    </row>
    <row r="26" spans="1:4" ht="12.75" customHeight="1" x14ac:dyDescent="0.35">
      <c r="A26" s="28"/>
      <c r="B26" s="53"/>
      <c r="C26" s="28"/>
      <c r="D26" s="28"/>
    </row>
    <row r="27" spans="1:4" ht="12.75" customHeight="1" x14ac:dyDescent="0.35">
      <c r="A27" s="28"/>
      <c r="B27" s="53"/>
      <c r="C27" s="28"/>
      <c r="D27" s="28"/>
    </row>
    <row r="28" spans="1:4" ht="12.75" customHeight="1" x14ac:dyDescent="0.35">
      <c r="A28" s="28"/>
      <c r="B28" s="53"/>
      <c r="C28" s="28"/>
      <c r="D28" s="28"/>
    </row>
    <row r="29" spans="1:4" ht="12.75" customHeight="1" x14ac:dyDescent="0.35">
      <c r="A29" s="28"/>
      <c r="B29" s="53"/>
      <c r="C29" s="1377" t="s">
        <v>6311</v>
      </c>
      <c r="D29" s="28"/>
    </row>
    <row r="30" spans="1:4" ht="12.75" customHeight="1" x14ac:dyDescent="0.35">
      <c r="A30" s="28"/>
      <c r="B30" s="53" t="s">
        <v>5117</v>
      </c>
      <c r="C30" s="28"/>
      <c r="D30" s="28"/>
    </row>
    <row r="31" spans="1:4" ht="12.75" customHeight="1" x14ac:dyDescent="0.35">
      <c r="A31" s="28"/>
      <c r="B31" s="53"/>
      <c r="C31" s="28" t="s">
        <v>3048</v>
      </c>
      <c r="D31" s="28"/>
    </row>
    <row r="32" spans="1:4" ht="12.75" customHeight="1" x14ac:dyDescent="0.35">
      <c r="A32" s="28"/>
      <c r="B32" s="53"/>
      <c r="C32" s="28"/>
      <c r="D32" s="28"/>
    </row>
    <row r="33" spans="1:4" ht="12.75" customHeight="1" x14ac:dyDescent="0.35">
      <c r="A33" s="28"/>
      <c r="B33" s="53"/>
      <c r="C33" s="28"/>
      <c r="D33" s="28"/>
    </row>
    <row r="34" spans="1:4" ht="12.75" customHeight="1" x14ac:dyDescent="0.35">
      <c r="A34" s="28"/>
      <c r="B34" s="53" t="s">
        <v>5117</v>
      </c>
      <c r="C34" s="28"/>
      <c r="D34" s="28"/>
    </row>
    <row r="35" spans="1:4" ht="12.75" customHeight="1" x14ac:dyDescent="0.35">
      <c r="A35" s="28"/>
      <c r="B35" s="53"/>
      <c r="C35" s="104" t="s">
        <v>3049</v>
      </c>
      <c r="D35" s="28"/>
    </row>
    <row r="36" spans="1:4" ht="12.75" customHeight="1" x14ac:dyDescent="0.35">
      <c r="A36" s="28"/>
      <c r="B36" s="53"/>
      <c r="C36" s="28"/>
      <c r="D36" s="28"/>
    </row>
    <row r="37" spans="1:4" ht="12.75" customHeight="1" x14ac:dyDescent="0.35">
      <c r="A37" s="28"/>
      <c r="B37" s="53"/>
      <c r="C37" s="28"/>
      <c r="D37" s="28"/>
    </row>
    <row r="38" spans="1:4" ht="12.75" customHeight="1" x14ac:dyDescent="0.35">
      <c r="A38" s="28"/>
      <c r="B38" s="53"/>
      <c r="C38" s="28"/>
      <c r="D38" s="28"/>
    </row>
    <row r="39" spans="1:4" ht="12.75" customHeight="1" x14ac:dyDescent="0.35">
      <c r="A39" s="28"/>
      <c r="B39" s="53"/>
      <c r="C39" s="1377" t="s">
        <v>6312</v>
      </c>
      <c r="D39" s="28"/>
    </row>
    <row r="40" spans="1:4" ht="12.75" customHeight="1" x14ac:dyDescent="0.35">
      <c r="A40" s="28"/>
      <c r="B40" s="53" t="s">
        <v>5117</v>
      </c>
      <c r="C40" s="28"/>
      <c r="D40" s="28"/>
    </row>
    <row r="41" spans="1:4" ht="12.75" customHeight="1" x14ac:dyDescent="0.35">
      <c r="A41" s="28"/>
      <c r="B41" s="28"/>
      <c r="C41" s="28" t="s">
        <v>3048</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t="s">
        <v>5117</v>
      </c>
      <c r="C44" s="28"/>
      <c r="D44" s="28"/>
    </row>
    <row r="45" spans="1:4" ht="12.75" customHeight="1" x14ac:dyDescent="0.35">
      <c r="A45" s="28"/>
      <c r="B45" s="28"/>
      <c r="C45" s="104" t="s">
        <v>3049</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53" t="s">
        <v>5117</v>
      </c>
      <c r="C50" s="28"/>
      <c r="D50" s="28"/>
    </row>
    <row r="51" spans="1:4" ht="12.75" customHeight="1" x14ac:dyDescent="0.35">
      <c r="A51" s="28"/>
      <c r="B51" s="28"/>
      <c r="C51" s="28" t="s">
        <v>3048</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t="s">
        <v>5117</v>
      </c>
      <c r="C54" s="28"/>
      <c r="D54" s="28"/>
    </row>
    <row r="55" spans="1:4" ht="12.75" customHeight="1" x14ac:dyDescent="0.35">
      <c r="A55" s="28"/>
      <c r="B55" s="28"/>
      <c r="C55" s="104" t="s">
        <v>3049</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53" t="s">
        <v>5117</v>
      </c>
      <c r="C60" s="28"/>
      <c r="D60" s="28"/>
    </row>
    <row r="61" spans="1:4" ht="12.75" customHeight="1" x14ac:dyDescent="0.35">
      <c r="A61" s="28"/>
      <c r="B61" s="28"/>
      <c r="C61" s="28" t="s">
        <v>3048</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t="s">
        <v>5117</v>
      </c>
      <c r="C64" s="28"/>
      <c r="D64" s="28"/>
    </row>
    <row r="65" spans="1:4" ht="12.75" customHeight="1" x14ac:dyDescent="0.35">
      <c r="A65" s="28"/>
      <c r="B65" s="28"/>
      <c r="C65" s="104" t="s">
        <v>3049</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53" t="s">
        <v>5117</v>
      </c>
      <c r="C70" s="28"/>
      <c r="D70" s="28"/>
    </row>
    <row r="71" spans="1:4" ht="12.75" customHeight="1" x14ac:dyDescent="0.35">
      <c r="A71" s="28"/>
      <c r="B71" s="53"/>
      <c r="C71" s="28" t="s">
        <v>3048</v>
      </c>
      <c r="D71" s="28"/>
    </row>
    <row r="72" spans="1:4" ht="12.75" customHeight="1" x14ac:dyDescent="0.35">
      <c r="A72" s="28"/>
      <c r="B72" s="53"/>
      <c r="C72" s="28"/>
      <c r="D72" s="28"/>
    </row>
    <row r="73" spans="1:4" ht="12.75" customHeight="1" x14ac:dyDescent="0.35">
      <c r="A73" s="28"/>
      <c r="B73" s="53"/>
      <c r="C73" s="28"/>
      <c r="D73" s="28"/>
    </row>
    <row r="74" spans="1:4" ht="12.75" customHeight="1" x14ac:dyDescent="0.35">
      <c r="A74" s="28"/>
      <c r="B74" s="53" t="s">
        <v>5117</v>
      </c>
      <c r="C74" s="28"/>
      <c r="D74" s="28"/>
    </row>
    <row r="75" spans="1:4" ht="12.75" customHeight="1" x14ac:dyDescent="0.35">
      <c r="A75" s="28"/>
      <c r="B75" s="53"/>
      <c r="C75" s="104" t="s">
        <v>3049</v>
      </c>
      <c r="D75" s="28"/>
    </row>
    <row r="76" spans="1:4" ht="12.75" customHeight="1" x14ac:dyDescent="0.35">
      <c r="A76" s="28"/>
      <c r="B76" s="53"/>
      <c r="C76" s="28"/>
      <c r="D76" s="28"/>
    </row>
    <row r="77" spans="1:4" ht="12.75" customHeight="1" x14ac:dyDescent="0.35">
      <c r="A77" s="28"/>
      <c r="B77" s="53"/>
      <c r="C77" s="28"/>
      <c r="D77" s="28"/>
    </row>
    <row r="78" spans="1:4" ht="12.75" customHeight="1" x14ac:dyDescent="0.35">
      <c r="A78" s="28"/>
      <c r="B78" s="53"/>
      <c r="C78" s="28"/>
      <c r="D78" s="28"/>
    </row>
    <row r="79" spans="1:4" ht="12.75" customHeight="1" x14ac:dyDescent="0.35">
      <c r="A79" s="28"/>
      <c r="B79" s="53"/>
      <c r="C79" s="28"/>
      <c r="D79" s="28"/>
    </row>
    <row r="80" spans="1:4" ht="12.75" customHeight="1" x14ac:dyDescent="0.35">
      <c r="A80" s="28"/>
      <c r="B80" s="53" t="s">
        <v>5117</v>
      </c>
      <c r="C80" s="28"/>
      <c r="D80" s="28"/>
    </row>
    <row r="81" spans="1:4" ht="12.75" customHeight="1" x14ac:dyDescent="0.35">
      <c r="A81" s="28"/>
      <c r="B81" s="53"/>
      <c r="C81" s="28" t="s">
        <v>3048</v>
      </c>
      <c r="D81" s="28"/>
    </row>
    <row r="82" spans="1:4" ht="12.75" customHeight="1" x14ac:dyDescent="0.35">
      <c r="A82" s="28"/>
      <c r="B82" s="53"/>
      <c r="C82" s="28"/>
      <c r="D82" s="28"/>
    </row>
    <row r="83" spans="1:4" ht="12.75" customHeight="1" x14ac:dyDescent="0.35">
      <c r="A83" s="28"/>
      <c r="B83" s="53"/>
      <c r="C83" s="28"/>
      <c r="D83" s="28"/>
    </row>
    <row r="84" spans="1:4" ht="12.75" customHeight="1" x14ac:dyDescent="0.35">
      <c r="A84" s="28"/>
      <c r="B84" s="53" t="s">
        <v>5117</v>
      </c>
      <c r="C84" s="28"/>
      <c r="D84" s="28"/>
    </row>
    <row r="85" spans="1:4" ht="12.75" customHeight="1" x14ac:dyDescent="0.35">
      <c r="A85" s="28"/>
      <c r="B85" s="53"/>
      <c r="C85" s="104" t="s">
        <v>3049</v>
      </c>
      <c r="D85" s="28"/>
    </row>
    <row r="86" spans="1:4" ht="12.75" customHeight="1" x14ac:dyDescent="0.35">
      <c r="A86" s="28"/>
      <c r="B86" s="53"/>
      <c r="C86" s="28"/>
      <c r="D86" s="28"/>
    </row>
    <row r="87" spans="1:4" ht="12.75" customHeight="1" x14ac:dyDescent="0.35">
      <c r="A87" s="28"/>
      <c r="B87" s="53"/>
      <c r="C87" s="28"/>
      <c r="D87" s="28"/>
    </row>
    <row r="88" spans="1:4" ht="12.75" customHeight="1" x14ac:dyDescent="0.35">
      <c r="A88" s="28"/>
      <c r="B88" s="53"/>
      <c r="C88" s="28"/>
      <c r="D88" s="28"/>
    </row>
    <row r="89" spans="1:4" ht="12.75" customHeight="1" x14ac:dyDescent="0.35">
      <c r="A89" s="28"/>
      <c r="B89" s="53"/>
      <c r="C89" s="28"/>
      <c r="D89" s="28"/>
    </row>
    <row r="90" spans="1:4" ht="12.75" customHeight="1" x14ac:dyDescent="0.35">
      <c r="A90" s="28"/>
      <c r="B90" s="53" t="s">
        <v>5117</v>
      </c>
      <c r="C90" s="28"/>
      <c r="D90" s="28"/>
    </row>
    <row r="91" spans="1:4" ht="12.75" customHeight="1" x14ac:dyDescent="0.35">
      <c r="A91" s="28"/>
      <c r="B91" s="28"/>
      <c r="C91" s="28" t="s">
        <v>3048</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t="s">
        <v>5117</v>
      </c>
      <c r="C94" s="28"/>
      <c r="D94" s="28"/>
    </row>
    <row r="95" spans="1:4" ht="12.75" customHeight="1" x14ac:dyDescent="0.35">
      <c r="A95" s="28"/>
      <c r="B95" s="28"/>
      <c r="C95" s="104" t="s">
        <v>3049</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53" t="s">
        <v>5117</v>
      </c>
      <c r="C100" s="28"/>
      <c r="D100" s="28"/>
    </row>
    <row r="101" spans="1:4" ht="12.75" customHeight="1" x14ac:dyDescent="0.35">
      <c r="A101" s="28"/>
      <c r="B101" s="28"/>
      <c r="C101" s="28" t="s">
        <v>3048</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t="s">
        <v>5117</v>
      </c>
      <c r="C104" s="28"/>
      <c r="D104" s="28"/>
    </row>
    <row r="105" spans="1:4" ht="12.75" customHeight="1" x14ac:dyDescent="0.35">
      <c r="A105" s="28"/>
      <c r="B105" s="28"/>
      <c r="C105" s="104" t="s">
        <v>3049</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53" t="s">
        <v>5117</v>
      </c>
      <c r="C110" s="28"/>
      <c r="D110" s="28"/>
    </row>
    <row r="111" spans="1:4" ht="12.75" customHeight="1" x14ac:dyDescent="0.35">
      <c r="A111" s="28"/>
      <c r="B111" s="28"/>
      <c r="C111" s="28" t="s">
        <v>3048</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t="s">
        <v>5117</v>
      </c>
      <c r="C114" s="28"/>
      <c r="D114" s="28"/>
    </row>
    <row r="115" spans="1:4" ht="12.75" customHeight="1" x14ac:dyDescent="0.35">
      <c r="A115" s="28"/>
      <c r="B115" s="28"/>
      <c r="C115" s="104" t="s">
        <v>3049</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53" t="s">
        <v>5117</v>
      </c>
      <c r="C120" s="28"/>
      <c r="D120" s="28"/>
    </row>
    <row r="121" spans="1:4" ht="12.75" customHeight="1" x14ac:dyDescent="0.35">
      <c r="A121" s="28"/>
      <c r="B121" s="28"/>
      <c r="C121" s="28" t="s">
        <v>3048</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t="s">
        <v>5117</v>
      </c>
      <c r="C124" s="28"/>
      <c r="D124" s="28"/>
    </row>
    <row r="125" spans="1:4" ht="12.75" customHeight="1" x14ac:dyDescent="0.35">
      <c r="A125" s="28"/>
      <c r="B125" s="28"/>
      <c r="C125" s="104" t="s">
        <v>3049</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53" t="s">
        <v>5117</v>
      </c>
      <c r="C130" s="28"/>
      <c r="D130" s="28"/>
    </row>
    <row r="131" spans="1:4" ht="12.75" customHeight="1" x14ac:dyDescent="0.35">
      <c r="A131" s="28"/>
      <c r="B131" s="28"/>
      <c r="C131" s="28" t="s">
        <v>3048</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t="s">
        <v>5117</v>
      </c>
      <c r="C134" s="28"/>
      <c r="D134" s="28"/>
    </row>
    <row r="135" spans="1:4" ht="12.75" customHeight="1" x14ac:dyDescent="0.35">
      <c r="A135" s="28"/>
      <c r="B135" s="28"/>
      <c r="C135" s="104" t="s">
        <v>3049</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53" t="s">
        <v>5117</v>
      </c>
      <c r="C140" s="28"/>
      <c r="D140" s="28"/>
    </row>
    <row r="141" spans="1:4" ht="12.75" customHeight="1" x14ac:dyDescent="0.35">
      <c r="A141" s="28"/>
      <c r="B141" s="28"/>
      <c r="C141" s="28" t="s">
        <v>3048</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t="s">
        <v>5117</v>
      </c>
      <c r="C144" s="28"/>
      <c r="D144" s="28"/>
    </row>
    <row r="145" spans="1:4" ht="12.75" customHeight="1" x14ac:dyDescent="0.35">
      <c r="A145" s="28"/>
      <c r="B145" s="28"/>
      <c r="C145" s="104" t="s">
        <v>3049</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53" t="s">
        <v>5117</v>
      </c>
      <c r="C150" s="28"/>
      <c r="D150" s="28"/>
    </row>
    <row r="151" spans="1:4" ht="12.75" customHeight="1" x14ac:dyDescent="0.35">
      <c r="A151" s="28"/>
      <c r="B151" s="28"/>
      <c r="C151" s="28" t="s">
        <v>3048</v>
      </c>
      <c r="D151" s="28"/>
    </row>
    <row r="152" spans="1:4" ht="12.75" customHeight="1" x14ac:dyDescent="0.35">
      <c r="A152" s="28"/>
      <c r="B152" s="53"/>
      <c r="C152" s="28"/>
      <c r="D152" s="28"/>
    </row>
    <row r="153" spans="1:4" ht="12.75" customHeight="1" x14ac:dyDescent="0.35">
      <c r="A153" s="28"/>
      <c r="B153" s="53"/>
      <c r="C153" s="28"/>
      <c r="D153" s="28"/>
    </row>
    <row r="154" spans="1:4" ht="12.75" customHeight="1" x14ac:dyDescent="0.35">
      <c r="A154" s="28"/>
      <c r="B154" s="53" t="s">
        <v>5117</v>
      </c>
      <c r="C154" s="28"/>
      <c r="D154" s="28"/>
    </row>
    <row r="155" spans="1:4" ht="12.75" customHeight="1" x14ac:dyDescent="0.35">
      <c r="A155" s="28"/>
      <c r="B155" s="53"/>
      <c r="C155" s="104" t="s">
        <v>3049</v>
      </c>
      <c r="D155" s="28"/>
    </row>
    <row r="156" spans="1:4" ht="12.75" customHeight="1" x14ac:dyDescent="0.35">
      <c r="A156" s="28"/>
      <c r="B156" s="53"/>
      <c r="C156" s="28"/>
      <c r="D156" s="28"/>
    </row>
    <row r="157" spans="1:4" ht="12.75" customHeight="1" x14ac:dyDescent="0.35">
      <c r="A157" s="28"/>
      <c r="B157" s="53"/>
      <c r="C157" s="28"/>
      <c r="D157" s="28"/>
    </row>
    <row r="158" spans="1:4" ht="12.75" customHeight="1" x14ac:dyDescent="0.35">
      <c r="A158" s="28"/>
      <c r="B158" s="53"/>
      <c r="C158" s="28"/>
      <c r="D158" s="28"/>
    </row>
    <row r="159" spans="1:4" ht="12.75" customHeight="1" x14ac:dyDescent="0.35">
      <c r="A159" s="28"/>
      <c r="B159" s="53"/>
      <c r="C159" s="28"/>
      <c r="D159" s="28"/>
    </row>
    <row r="160" spans="1:4" ht="12.75" customHeight="1" x14ac:dyDescent="0.35">
      <c r="A160" s="28"/>
      <c r="B160" s="53" t="s">
        <v>5117</v>
      </c>
      <c r="C160" s="28"/>
      <c r="D160" s="28"/>
    </row>
    <row r="161" spans="1:4" ht="12.75" customHeight="1" x14ac:dyDescent="0.35">
      <c r="A161" s="28"/>
      <c r="B161" s="53"/>
      <c r="C161" s="28" t="s">
        <v>3048</v>
      </c>
      <c r="D161" s="28"/>
    </row>
    <row r="162" spans="1:4" ht="12.75" customHeight="1" x14ac:dyDescent="0.35">
      <c r="A162" s="28"/>
      <c r="B162" s="53"/>
      <c r="C162" s="28"/>
      <c r="D162" s="28"/>
    </row>
    <row r="163" spans="1:4" ht="12.75" customHeight="1" x14ac:dyDescent="0.35">
      <c r="A163" s="28"/>
      <c r="B163" s="53"/>
      <c r="C163" s="28"/>
      <c r="D163" s="28"/>
    </row>
    <row r="164" spans="1:4" ht="12.75" customHeight="1" x14ac:dyDescent="0.35">
      <c r="A164" s="28"/>
      <c r="B164" s="53" t="s">
        <v>5117</v>
      </c>
      <c r="C164" s="28"/>
      <c r="D164" s="28"/>
    </row>
    <row r="165" spans="1:4" ht="12.75" customHeight="1" x14ac:dyDescent="0.35">
      <c r="A165" s="28"/>
      <c r="B165" s="53"/>
      <c r="C165" s="104" t="s">
        <v>3049</v>
      </c>
      <c r="D165" s="28"/>
    </row>
    <row r="166" spans="1:4" ht="12.75" customHeight="1" x14ac:dyDescent="0.35">
      <c r="A166" s="28"/>
      <c r="B166" s="53"/>
      <c r="C166" s="28"/>
      <c r="D166" s="28"/>
    </row>
    <row r="167" spans="1:4" ht="12.75" customHeight="1" x14ac:dyDescent="0.35">
      <c r="A167" s="28"/>
      <c r="B167" s="53"/>
      <c r="C167" s="28"/>
      <c r="D167" s="28"/>
    </row>
    <row r="168" spans="1:4" ht="12.75" customHeight="1" x14ac:dyDescent="0.35">
      <c r="A168" s="28"/>
      <c r="B168" s="53"/>
      <c r="C168" s="28"/>
      <c r="D168" s="28"/>
    </row>
    <row r="169" spans="1:4" ht="12.75" customHeight="1" x14ac:dyDescent="0.35">
      <c r="A169" s="28"/>
      <c r="B169" s="53"/>
      <c r="C169" s="28"/>
      <c r="D169" s="28"/>
    </row>
    <row r="170" spans="1:4" ht="12.75" customHeight="1" x14ac:dyDescent="0.35">
      <c r="A170" s="28"/>
      <c r="B170" s="53" t="s">
        <v>5117</v>
      </c>
      <c r="C170" s="28"/>
      <c r="D170" s="28"/>
    </row>
    <row r="171" spans="1:4" ht="12.75" customHeight="1" x14ac:dyDescent="0.35">
      <c r="A171" s="28"/>
      <c r="B171" s="28"/>
      <c r="C171" s="28" t="s">
        <v>3048</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5117</v>
      </c>
      <c r="C174" s="28"/>
      <c r="D174" s="28"/>
    </row>
    <row r="175" spans="1:4" ht="12.75" customHeight="1" x14ac:dyDescent="0.35">
      <c r="A175" s="28"/>
      <c r="B175" s="28"/>
      <c r="C175" s="104" t="s">
        <v>3049</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53" t="s">
        <v>5117</v>
      </c>
      <c r="C180" s="28"/>
      <c r="D180" s="28"/>
    </row>
    <row r="181" spans="1:4" ht="12.75" customHeight="1" x14ac:dyDescent="0.35">
      <c r="A181" s="28"/>
      <c r="B181" s="28"/>
      <c r="C181" s="28" t="s">
        <v>3048</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5117</v>
      </c>
      <c r="C184" s="28"/>
      <c r="D184" s="28"/>
    </row>
    <row r="185" spans="1:4" ht="12.75" customHeight="1" x14ac:dyDescent="0.35">
      <c r="A185" s="28"/>
      <c r="B185" s="28"/>
      <c r="C185" s="104" t="s">
        <v>3049</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53" t="s">
        <v>5117</v>
      </c>
      <c r="C190" s="28"/>
      <c r="D190" s="28"/>
    </row>
    <row r="191" spans="1:4" ht="12.75" customHeight="1" x14ac:dyDescent="0.35">
      <c r="A191" s="28"/>
      <c r="B191" s="28"/>
      <c r="C191" s="28" t="s">
        <v>3048</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5117</v>
      </c>
      <c r="C194" s="28"/>
      <c r="D194" s="28"/>
    </row>
    <row r="195" spans="1:4" ht="12.75" customHeight="1" x14ac:dyDescent="0.35">
      <c r="A195" s="28"/>
      <c r="B195" s="28"/>
      <c r="C195" s="104" t="s">
        <v>3049</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53" t="s">
        <v>5117</v>
      </c>
      <c r="C200" s="28"/>
      <c r="D200" s="28"/>
    </row>
    <row r="201" spans="1:4" ht="12.75" customHeight="1" x14ac:dyDescent="0.35">
      <c r="A201" s="28"/>
      <c r="B201" s="53"/>
      <c r="C201" s="28" t="s">
        <v>3048</v>
      </c>
      <c r="D201" s="28"/>
    </row>
    <row r="202" spans="1:4" ht="12.75" customHeight="1" x14ac:dyDescent="0.35">
      <c r="A202" s="28"/>
      <c r="B202" s="53"/>
      <c r="C202" s="28"/>
      <c r="D202" s="28"/>
    </row>
    <row r="203" spans="1:4" ht="12.75" customHeight="1" x14ac:dyDescent="0.35">
      <c r="A203" s="28"/>
      <c r="B203" s="53"/>
      <c r="C203" s="28"/>
      <c r="D203" s="28"/>
    </row>
    <row r="204" spans="1:4" ht="12.75" customHeight="1" x14ac:dyDescent="0.35">
      <c r="A204" s="28"/>
      <c r="B204" s="53" t="s">
        <v>5117</v>
      </c>
      <c r="C204" s="28"/>
      <c r="D204" s="28"/>
    </row>
    <row r="205" spans="1:4" ht="12.75" customHeight="1" x14ac:dyDescent="0.35">
      <c r="A205" s="28"/>
      <c r="B205" s="53"/>
      <c r="C205" s="104" t="s">
        <v>3049</v>
      </c>
      <c r="D205" s="28"/>
    </row>
    <row r="206" spans="1:4" ht="12.75" customHeight="1" x14ac:dyDescent="0.35">
      <c r="A206" s="28"/>
      <c r="B206" s="53"/>
      <c r="C206" s="28"/>
      <c r="D206" s="28"/>
    </row>
    <row r="207" spans="1:4" ht="12.75" customHeight="1" x14ac:dyDescent="0.35">
      <c r="A207" s="28"/>
      <c r="B207" s="53"/>
      <c r="C207" s="28"/>
      <c r="D207" s="28"/>
    </row>
    <row r="208" spans="1:4" ht="12.75" customHeight="1" x14ac:dyDescent="0.35">
      <c r="A208" s="28"/>
      <c r="B208" s="53"/>
      <c r="C208" s="28"/>
      <c r="D208" s="28"/>
    </row>
    <row r="209" spans="1:4" ht="12.75" customHeight="1" x14ac:dyDescent="0.35">
      <c r="A209" s="28"/>
      <c r="B209" s="53"/>
      <c r="C209" s="28"/>
      <c r="D209" s="28"/>
    </row>
    <row r="210" spans="1:4" ht="12.75" customHeight="1" x14ac:dyDescent="0.35">
      <c r="A210" s="28"/>
      <c r="B210" s="53" t="s">
        <v>5117</v>
      </c>
      <c r="C210" s="28"/>
      <c r="D210" s="28"/>
    </row>
    <row r="211" spans="1:4" ht="12.75" customHeight="1" x14ac:dyDescent="0.35">
      <c r="A211" s="28"/>
      <c r="B211" s="53"/>
      <c r="C211" s="28" t="s">
        <v>3048</v>
      </c>
      <c r="D211" s="28"/>
    </row>
    <row r="212" spans="1:4" ht="12.75" customHeight="1" x14ac:dyDescent="0.35">
      <c r="A212" s="28"/>
      <c r="B212" s="53"/>
      <c r="C212" s="28"/>
      <c r="D212" s="28"/>
    </row>
    <row r="213" spans="1:4" ht="12.75" customHeight="1" x14ac:dyDescent="0.35">
      <c r="A213" s="28"/>
      <c r="B213" s="53"/>
      <c r="C213" s="28"/>
      <c r="D213" s="28"/>
    </row>
    <row r="214" spans="1:4" ht="12.75" customHeight="1" x14ac:dyDescent="0.35">
      <c r="A214" s="28"/>
      <c r="B214" s="53" t="s">
        <v>5117</v>
      </c>
      <c r="C214" s="28"/>
      <c r="D214" s="28"/>
    </row>
    <row r="215" spans="1:4" ht="12.75" customHeight="1" x14ac:dyDescent="0.35">
      <c r="A215" s="28"/>
      <c r="B215" s="53"/>
      <c r="C215" s="104" t="s">
        <v>3049</v>
      </c>
      <c r="D215" s="28"/>
    </row>
    <row r="216" spans="1:4" ht="12.75" customHeight="1" x14ac:dyDescent="0.35">
      <c r="A216" s="28"/>
      <c r="B216" s="53"/>
      <c r="C216" s="28"/>
      <c r="D216" s="28"/>
    </row>
    <row r="217" spans="1:4" ht="12.75" customHeight="1" x14ac:dyDescent="0.35">
      <c r="A217" s="28"/>
      <c r="B217" s="53"/>
      <c r="C217" s="28"/>
      <c r="D217" s="28"/>
    </row>
    <row r="218" spans="1:4" ht="12.75" customHeight="1" x14ac:dyDescent="0.35">
      <c r="A218" s="28"/>
      <c r="B218" s="53"/>
      <c r="C218" s="28"/>
      <c r="D218" s="28"/>
    </row>
    <row r="219" spans="1:4" ht="12.75" customHeight="1" x14ac:dyDescent="0.35">
      <c r="A219" s="28"/>
      <c r="B219" s="53"/>
      <c r="C219" s="28"/>
      <c r="D219" s="28"/>
    </row>
    <row r="220" spans="1:4" ht="12.75" customHeight="1" x14ac:dyDescent="0.35">
      <c r="A220" s="28"/>
      <c r="B220" s="53" t="s">
        <v>5117</v>
      </c>
      <c r="C220" s="28"/>
      <c r="D220" s="28"/>
    </row>
    <row r="221" spans="1:4" ht="12.75" customHeight="1" x14ac:dyDescent="0.35">
      <c r="A221" s="28"/>
      <c r="B221" s="28"/>
      <c r="C221" s="28" t="s">
        <v>3048</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5117</v>
      </c>
      <c r="C224" s="28"/>
      <c r="D224" s="28"/>
    </row>
    <row r="225" spans="1:4" ht="12.75" customHeight="1" x14ac:dyDescent="0.35">
      <c r="A225" s="28"/>
      <c r="B225" s="28"/>
      <c r="C225" s="104" t="s">
        <v>3049</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53" t="s">
        <v>5117</v>
      </c>
      <c r="C230" s="28"/>
      <c r="D230" s="28"/>
    </row>
    <row r="231" spans="1:4" ht="12.75" customHeight="1" x14ac:dyDescent="0.35">
      <c r="A231" s="28"/>
      <c r="B231" s="28"/>
      <c r="C231" s="28" t="s">
        <v>3048</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5117</v>
      </c>
      <c r="C234" s="28"/>
      <c r="D234" s="28"/>
    </row>
    <row r="235" spans="1:4" ht="12.75" customHeight="1" x14ac:dyDescent="0.35">
      <c r="A235" s="28"/>
      <c r="B235" s="28"/>
      <c r="C235" s="104" t="s">
        <v>3049</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53" t="s">
        <v>5117</v>
      </c>
      <c r="C240" s="28"/>
      <c r="D240" s="28"/>
    </row>
    <row r="241" spans="1:4" ht="12.75" customHeight="1" x14ac:dyDescent="0.35">
      <c r="A241" s="28"/>
      <c r="B241" s="28"/>
      <c r="C241" s="28" t="s">
        <v>3048</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5117</v>
      </c>
      <c r="C244" s="28"/>
      <c r="D244" s="28"/>
    </row>
    <row r="245" spans="1:4" ht="12.75" customHeight="1" x14ac:dyDescent="0.35">
      <c r="A245" s="28"/>
      <c r="B245" s="28"/>
      <c r="C245" s="104" t="s">
        <v>3049</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53" t="s">
        <v>5117</v>
      </c>
      <c r="C250" s="28"/>
      <c r="D250" s="28"/>
    </row>
    <row r="251" spans="1:4" ht="12.75" customHeight="1" x14ac:dyDescent="0.35">
      <c r="A251" s="28"/>
      <c r="B251" s="28"/>
      <c r="C251" s="28" t="s">
        <v>3048</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5117</v>
      </c>
      <c r="C254" s="28"/>
      <c r="D254" s="28"/>
    </row>
    <row r="255" spans="1:4" ht="12.75" customHeight="1" x14ac:dyDescent="0.35">
      <c r="A255" s="28"/>
      <c r="B255" s="28"/>
      <c r="C255" s="104" t="s">
        <v>3049</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53" t="s">
        <v>5117</v>
      </c>
      <c r="C260" s="28"/>
      <c r="D260" s="28"/>
    </row>
    <row r="261" spans="1:4" ht="12.75" customHeight="1" x14ac:dyDescent="0.35">
      <c r="A261" s="28"/>
      <c r="B261" s="28"/>
      <c r="C261" s="28" t="s">
        <v>3048</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5117</v>
      </c>
      <c r="C264" s="28"/>
      <c r="D264" s="28"/>
    </row>
    <row r="265" spans="1:4" ht="12.75" customHeight="1" x14ac:dyDescent="0.35">
      <c r="A265" s="28"/>
      <c r="B265" s="28"/>
      <c r="C265" s="104" t="s">
        <v>3049</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53" t="s">
        <v>5117</v>
      </c>
      <c r="C270" s="28"/>
      <c r="D270" s="28"/>
    </row>
    <row r="271" spans="1:4" ht="12.75" customHeight="1" x14ac:dyDescent="0.35">
      <c r="A271" s="28"/>
      <c r="B271" s="28"/>
      <c r="C271" s="28" t="s">
        <v>3048</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5117</v>
      </c>
      <c r="C274" s="28"/>
      <c r="D274" s="28"/>
    </row>
    <row r="275" spans="1:4" ht="12.75" customHeight="1" x14ac:dyDescent="0.35">
      <c r="A275" s="28"/>
      <c r="B275" s="28"/>
      <c r="C275" s="104" t="s">
        <v>3049</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53" t="s">
        <v>5117</v>
      </c>
      <c r="C280" s="28"/>
      <c r="D280" s="28"/>
    </row>
    <row r="281" spans="1:4" ht="12.75" customHeight="1" x14ac:dyDescent="0.35">
      <c r="A281" s="28"/>
      <c r="B281" s="28"/>
      <c r="C281" s="28" t="s">
        <v>3048</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5117</v>
      </c>
      <c r="C284" s="28"/>
      <c r="D284" s="28"/>
    </row>
    <row r="285" spans="1:4" ht="12.75" customHeight="1" x14ac:dyDescent="0.35">
      <c r="A285" s="28"/>
      <c r="B285" s="28"/>
      <c r="C285" s="104" t="s">
        <v>3049</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53" t="s">
        <v>5117</v>
      </c>
      <c r="C290" s="28"/>
      <c r="D290" s="28"/>
    </row>
    <row r="291" spans="1:4" ht="12.75" customHeight="1" x14ac:dyDescent="0.35">
      <c r="A291" s="28"/>
      <c r="B291" s="28"/>
      <c r="C291" s="28" t="s">
        <v>3048</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5117</v>
      </c>
      <c r="C294" s="28"/>
      <c r="D294" s="28"/>
    </row>
    <row r="295" spans="1:4" ht="12.75" customHeight="1" x14ac:dyDescent="0.35">
      <c r="A295" s="28"/>
      <c r="B295" s="28"/>
      <c r="C295" s="104" t="s">
        <v>3049</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53" t="s">
        <v>5117</v>
      </c>
      <c r="C300" s="28"/>
      <c r="D300" s="28"/>
    </row>
    <row r="301" spans="1:4" ht="12.75" customHeight="1" x14ac:dyDescent="0.35">
      <c r="A301" s="28"/>
      <c r="B301" s="28"/>
      <c r="C301" s="28" t="s">
        <v>3048</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5117</v>
      </c>
      <c r="C304" s="28"/>
      <c r="D304" s="28"/>
    </row>
    <row r="305" spans="1:4" ht="12.75" customHeight="1" x14ac:dyDescent="0.35">
      <c r="A305" s="28"/>
      <c r="B305" s="28"/>
      <c r="C305" s="104" t="s">
        <v>3049</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53" t="s">
        <v>5117</v>
      </c>
      <c r="C310" s="28"/>
      <c r="D310" s="28"/>
    </row>
    <row r="311" spans="1:4" ht="12.75" customHeight="1" x14ac:dyDescent="0.35">
      <c r="A311" s="28"/>
      <c r="B311" s="28"/>
      <c r="C311" s="28" t="s">
        <v>3048</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5117</v>
      </c>
      <c r="C314" s="28"/>
      <c r="D314" s="28"/>
    </row>
    <row r="315" spans="1:4" ht="12.75" customHeight="1" x14ac:dyDescent="0.35">
      <c r="A315" s="28"/>
      <c r="B315" s="28"/>
      <c r="C315" s="104" t="s">
        <v>3049</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3050</v>
      </c>
      <c r="C318" s="28"/>
      <c r="D318" s="28"/>
    </row>
    <row r="319" spans="1:4" ht="12.75" customHeight="1" x14ac:dyDescent="0.35">
      <c r="A319" s="28"/>
      <c r="B319" s="28" t="s">
        <v>3051</v>
      </c>
      <c r="C319" s="28"/>
      <c r="D319" s="28"/>
    </row>
    <row r="320" spans="1:4" ht="12.75" customHeight="1" x14ac:dyDescent="0.35">
      <c r="A320" s="28"/>
      <c r="B320" s="28" t="s">
        <v>3052</v>
      </c>
      <c r="C320" s="28"/>
      <c r="D320" s="28"/>
    </row>
    <row r="321" spans="1:4" ht="12.75" customHeight="1" x14ac:dyDescent="0.35">
      <c r="A321" s="28"/>
      <c r="B321" s="28" t="s">
        <v>3053</v>
      </c>
      <c r="C321" s="28"/>
      <c r="D321" s="28"/>
    </row>
    <row r="322" spans="1:4" ht="12.75" customHeight="1" x14ac:dyDescent="0.35">
      <c r="A322" s="28"/>
      <c r="B322" s="28" t="s">
        <v>3048</v>
      </c>
      <c r="C322" s="28"/>
      <c r="D322" s="28"/>
    </row>
    <row r="323" spans="1:4" ht="12.75" customHeight="1" x14ac:dyDescent="0.35">
      <c r="A323" s="28"/>
      <c r="B323" s="28" t="s">
        <v>3054</v>
      </c>
      <c r="C323" s="28"/>
      <c r="D323" s="28"/>
    </row>
    <row r="324" spans="1:4" ht="12.75" customHeight="1" x14ac:dyDescent="0.35">
      <c r="A324" s="28"/>
      <c r="B324" s="28" t="s">
        <v>3051</v>
      </c>
      <c r="C324" s="28"/>
      <c r="D324" s="28"/>
    </row>
    <row r="325" spans="1:4" ht="12.75" customHeight="1" x14ac:dyDescent="0.35">
      <c r="A325" s="28"/>
      <c r="B325" s="28" t="s">
        <v>3046</v>
      </c>
      <c r="C325" s="28"/>
      <c r="D325" s="28"/>
    </row>
    <row r="326" spans="1:4" ht="12.75" customHeight="1" x14ac:dyDescent="0.35">
      <c r="A326" s="28"/>
      <c r="B326" s="28" t="s">
        <v>3053</v>
      </c>
      <c r="C326" s="28"/>
      <c r="D326" s="28"/>
    </row>
    <row r="327" spans="1:4" ht="12.75" customHeight="1" x14ac:dyDescent="0.35">
      <c r="A327" s="28"/>
      <c r="B327" s="28" t="s">
        <v>3055</v>
      </c>
      <c r="C327" s="28"/>
      <c r="D327" s="28"/>
    </row>
    <row r="328" spans="1:4" ht="12.75" customHeight="1" x14ac:dyDescent="0.35">
      <c r="A328" s="28"/>
      <c r="B328" s="28"/>
      <c r="C328" s="28"/>
      <c r="D328" s="28"/>
    </row>
    <row r="329" spans="1:4" ht="12.75" customHeight="1" x14ac:dyDescent="0.35">
      <c r="A329" s="28"/>
      <c r="B329" s="28" t="s">
        <v>3056</v>
      </c>
      <c r="C329" s="28"/>
      <c r="D329" s="28"/>
    </row>
    <row r="330" spans="1:4" ht="12.75" customHeight="1" x14ac:dyDescent="0.35">
      <c r="A330" s="28"/>
      <c r="B330" s="28" t="s">
        <v>3057</v>
      </c>
      <c r="C330" s="28"/>
      <c r="D330" s="28"/>
    </row>
    <row r="331" spans="1:4" ht="12.75" customHeight="1" x14ac:dyDescent="0.35">
      <c r="A331" s="28"/>
      <c r="B331" s="28" t="s">
        <v>3058</v>
      </c>
      <c r="C331" s="28"/>
      <c r="D331" s="28"/>
    </row>
    <row r="332" spans="1:4" ht="12.75" customHeight="1" x14ac:dyDescent="0.35">
      <c r="A332" s="28"/>
      <c r="B332" s="28" t="s">
        <v>3059</v>
      </c>
      <c r="C332" s="28"/>
      <c r="D332" s="28"/>
    </row>
    <row r="333" spans="1:4" ht="12.75" customHeight="1" x14ac:dyDescent="0.35">
      <c r="A333" s="28"/>
      <c r="B333" s="28" t="s">
        <v>3060</v>
      </c>
      <c r="C333" s="28"/>
      <c r="D333" s="28"/>
    </row>
    <row r="334" spans="1:4" ht="12.75" customHeight="1" x14ac:dyDescent="0.35">
      <c r="A334" s="28"/>
      <c r="B334" s="28"/>
      <c r="C334" s="28"/>
      <c r="D334" s="28"/>
    </row>
    <row r="335" spans="1:4" ht="12.75" customHeight="1" x14ac:dyDescent="0.35">
      <c r="A335" s="28"/>
      <c r="B335" s="28" t="s">
        <v>3061</v>
      </c>
      <c r="C335" s="28"/>
      <c r="D335" s="28" t="s">
        <v>3062</v>
      </c>
    </row>
    <row r="336" spans="1:4" ht="12.75" customHeight="1" x14ac:dyDescent="0.35">
      <c r="A336" s="28"/>
      <c r="B336" s="28" t="s">
        <v>3063</v>
      </c>
      <c r="C336" s="28"/>
      <c r="D336" s="28"/>
    </row>
    <row r="337" spans="1:4" ht="12.75" customHeight="1" x14ac:dyDescent="0.35">
      <c r="A337" s="28"/>
      <c r="B337" s="28" t="s">
        <v>3064</v>
      </c>
      <c r="C337" s="28"/>
      <c r="D337" s="28"/>
    </row>
    <row r="338" spans="1:4" ht="12.75" customHeight="1" x14ac:dyDescent="0.35">
      <c r="A338" s="28"/>
      <c r="B338" s="28" t="s">
        <v>3065</v>
      </c>
      <c r="C338" s="28"/>
      <c r="D338" s="28"/>
    </row>
    <row r="339" spans="1:4" ht="12.75" customHeight="1" x14ac:dyDescent="0.35">
      <c r="A339" s="28"/>
      <c r="B339" s="28" t="s">
        <v>3066</v>
      </c>
      <c r="C339" s="28"/>
      <c r="D339" s="28"/>
    </row>
    <row r="340" spans="1:4" ht="12.75" customHeight="1" x14ac:dyDescent="0.35">
      <c r="A340" s="28"/>
      <c r="B340" s="28" t="s">
        <v>3067</v>
      </c>
      <c r="C340" s="28"/>
      <c r="D340" s="28"/>
    </row>
    <row r="341" spans="1:4" ht="12.75" customHeight="1" x14ac:dyDescent="0.35">
      <c r="A341" s="28"/>
      <c r="B341" s="28" t="s">
        <v>3068</v>
      </c>
      <c r="C341" s="28"/>
      <c r="D341" s="28"/>
    </row>
    <row r="342" spans="1:4" ht="12.75" customHeight="1" x14ac:dyDescent="0.35">
      <c r="A342" s="28"/>
      <c r="B342" s="28" t="s">
        <v>3069</v>
      </c>
      <c r="C342" s="28"/>
      <c r="D342" s="28"/>
    </row>
    <row r="343" spans="1:4" ht="12.75" customHeight="1" x14ac:dyDescent="0.35">
      <c r="A343" s="28"/>
      <c r="B343" s="28" t="s">
        <v>3070</v>
      </c>
      <c r="C343" s="28"/>
      <c r="D343" s="28"/>
    </row>
    <row r="344" spans="1:4" ht="12.75" customHeight="1" x14ac:dyDescent="0.35">
      <c r="A344" s="28"/>
      <c r="B344" s="28" t="s">
        <v>3071</v>
      </c>
      <c r="C344" s="28"/>
      <c r="D344" s="28"/>
    </row>
    <row r="345" spans="1:4" ht="12.75" customHeight="1" x14ac:dyDescent="0.35">
      <c r="A345" s="28"/>
      <c r="B345" s="28" t="s">
        <v>3072</v>
      </c>
      <c r="C345" s="28"/>
      <c r="D345" s="28"/>
    </row>
    <row r="346" spans="1:4" ht="12.75" customHeight="1" x14ac:dyDescent="0.35">
      <c r="A346" s="28"/>
      <c r="B346" s="28" t="s">
        <v>3073</v>
      </c>
      <c r="C346" s="28"/>
      <c r="D346" s="28"/>
    </row>
    <row r="347" spans="1:4" ht="12.75" customHeight="1" x14ac:dyDescent="0.35">
      <c r="A347" s="28"/>
      <c r="B347" s="28"/>
      <c r="C347" s="194" t="s">
        <v>5538</v>
      </c>
      <c r="D347" s="28"/>
    </row>
    <row r="348" spans="1:4" ht="12.75" customHeight="1" x14ac:dyDescent="0.35">
      <c r="A348" s="28"/>
      <c r="B348" s="28"/>
      <c r="C348" s="28"/>
      <c r="D348" s="28"/>
    </row>
    <row r="349" spans="1:4" ht="12.75" customHeight="1" x14ac:dyDescent="0.35">
      <c r="A349" s="28"/>
      <c r="B349" s="28"/>
      <c r="C349" s="28" t="s">
        <v>3074</v>
      </c>
      <c r="D349" s="28"/>
    </row>
    <row r="350" spans="1:4" ht="12.75" customHeight="1" x14ac:dyDescent="0.35">
      <c r="A350" s="28"/>
      <c r="B350" s="28"/>
      <c r="C350" s="28" t="s">
        <v>2517</v>
      </c>
      <c r="D350" s="28"/>
    </row>
    <row r="351" spans="1:4" ht="12.75" customHeight="1" x14ac:dyDescent="0.35">
      <c r="A351" s="28"/>
      <c r="B351" s="28"/>
      <c r="C351" s="28" t="s">
        <v>3075</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3076</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3077</v>
      </c>
      <c r="D422" s="28"/>
    </row>
    <row r="423" spans="1:4" ht="12.75" customHeight="1" x14ac:dyDescent="0.35">
      <c r="A423" s="28"/>
      <c r="B423" s="28" t="s">
        <v>781</v>
      </c>
      <c r="C423" s="28"/>
      <c r="D423" s="28"/>
    </row>
    <row r="424" spans="1:4" ht="12.75" customHeight="1" x14ac:dyDescent="0.35">
      <c r="A424" s="28"/>
      <c r="B424" s="28" t="s">
        <v>3078</v>
      </c>
      <c r="C424" s="28"/>
      <c r="D424" s="28"/>
    </row>
    <row r="425" spans="1:4" ht="12.75" customHeight="1" x14ac:dyDescent="0.35">
      <c r="A425" s="28"/>
      <c r="B425" s="28" t="s">
        <v>2517</v>
      </c>
      <c r="C425" s="28"/>
      <c r="D425" s="28"/>
    </row>
    <row r="426" spans="1:4" ht="12.75" customHeight="1" x14ac:dyDescent="0.35">
      <c r="A426" s="28"/>
      <c r="B426" s="28" t="s">
        <v>3079</v>
      </c>
      <c r="C426" s="28"/>
      <c r="D426" s="28"/>
    </row>
    <row r="427" spans="1:4" ht="12.75" customHeight="1" x14ac:dyDescent="0.35">
      <c r="A427" s="28"/>
      <c r="B427" s="28" t="s">
        <v>3080</v>
      </c>
      <c r="C427" s="28"/>
      <c r="D427" s="28"/>
    </row>
    <row r="428" spans="1:4" ht="12.75" customHeight="1" x14ac:dyDescent="0.35">
      <c r="A428" s="28"/>
      <c r="B428" s="28" t="s">
        <v>3081</v>
      </c>
      <c r="C428" s="28"/>
      <c r="D428" s="28"/>
    </row>
    <row r="429" spans="1:4" ht="12.75" customHeight="1" x14ac:dyDescent="0.35">
      <c r="A429" s="28"/>
      <c r="B429" s="28" t="s">
        <v>3082</v>
      </c>
      <c r="C429" s="28"/>
      <c r="D429" s="28"/>
    </row>
    <row r="430" spans="1:4" ht="12.75" customHeight="1" x14ac:dyDescent="0.35">
      <c r="A430" s="28"/>
      <c r="B430" s="28" t="s">
        <v>3083</v>
      </c>
      <c r="C430" s="28"/>
      <c r="D430" s="28"/>
    </row>
    <row r="431" spans="1:4" ht="12.75" customHeight="1" x14ac:dyDescent="0.35">
      <c r="A431" s="28"/>
      <c r="B431" s="28" t="s">
        <v>3084</v>
      </c>
      <c r="C431" s="28"/>
      <c r="D431" s="28"/>
    </row>
    <row r="432" spans="1:4" ht="12.75" customHeight="1" x14ac:dyDescent="0.35">
      <c r="A432" s="28"/>
      <c r="B432" s="28" t="s">
        <v>3085</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3086</v>
      </c>
      <c r="C439" s="28"/>
      <c r="D439" s="28"/>
    </row>
    <row r="440" spans="1:4" ht="12.75" customHeight="1" x14ac:dyDescent="0.35">
      <c r="A440" s="28"/>
      <c r="B440" s="28"/>
      <c r="C440" s="28"/>
      <c r="D440" s="28"/>
    </row>
    <row r="441" spans="1:4" ht="12.75" customHeight="1" x14ac:dyDescent="0.35">
      <c r="A441" s="28"/>
      <c r="B441" s="28" t="s">
        <v>3044</v>
      </c>
      <c r="C441" s="28"/>
      <c r="D441" s="28"/>
    </row>
    <row r="442" spans="1:4" ht="12.75" customHeight="1" x14ac:dyDescent="0.35">
      <c r="A442" s="28"/>
      <c r="B442" s="28" t="s">
        <v>5115</v>
      </c>
      <c r="C442" s="28"/>
      <c r="D442" s="28"/>
    </row>
    <row r="443" spans="1:4" ht="12.75" customHeight="1" x14ac:dyDescent="0.35">
      <c r="A443" s="28"/>
      <c r="B443" s="28"/>
      <c r="C443" s="1377" t="s">
        <v>4712</v>
      </c>
      <c r="D443" s="28"/>
    </row>
    <row r="444" spans="1:4" ht="12.75" customHeight="1" x14ac:dyDescent="0.35">
      <c r="A444" s="28"/>
      <c r="B444" s="28"/>
      <c r="C444" s="1377" t="s">
        <v>6313</v>
      </c>
      <c r="D444" s="28"/>
    </row>
    <row r="445" spans="1:4" ht="12.75" customHeight="1" x14ac:dyDescent="0.35">
      <c r="A445" s="28"/>
      <c r="B445" s="28"/>
      <c r="C445" s="1377" t="s">
        <v>6314</v>
      </c>
      <c r="D445" s="28"/>
    </row>
    <row r="446" spans="1:4" ht="12.75" customHeight="1" x14ac:dyDescent="0.35">
      <c r="A446" s="28"/>
      <c r="B446" s="28"/>
      <c r="C446" s="1377" t="s">
        <v>6315</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3087</v>
      </c>
      <c r="C456" s="28"/>
      <c r="D456" s="28"/>
    </row>
    <row r="457" spans="1:4" ht="12.75" customHeight="1" x14ac:dyDescent="0.35">
      <c r="A457" s="28"/>
      <c r="B457" s="28" t="s">
        <v>5548</v>
      </c>
      <c r="C457" s="28"/>
      <c r="D457" s="28"/>
    </row>
    <row r="458" spans="1:4" ht="12.75" customHeight="1" x14ac:dyDescent="0.35">
      <c r="A458" s="28"/>
      <c r="B458" s="28" t="str">
        <f>IF(PrintMode=0,"      ","")&amp;"Rörelsens övriga intäkter"</f>
        <v xml:space="preserve">      Rörelsens övriga intäkter</v>
      </c>
      <c r="C458" s="28"/>
      <c r="D458" s="28"/>
    </row>
    <row r="459" spans="1:4" ht="12.75" customHeight="1" x14ac:dyDescent="0.35">
      <c r="A459" s="28"/>
      <c r="B459" s="28" t="s">
        <v>3088</v>
      </c>
      <c r="C459" s="28"/>
      <c r="D459" s="28"/>
    </row>
    <row r="460" spans="1:4" ht="12.75" customHeight="1" x14ac:dyDescent="0.35">
      <c r="A460" s="28"/>
      <c r="B460" s="28"/>
      <c r="C460" s="28" t="s">
        <v>3089</v>
      </c>
      <c r="D460" s="28"/>
    </row>
    <row r="461" spans="1:4" ht="12.75" customHeight="1" x14ac:dyDescent="0.35">
      <c r="A461" s="28"/>
      <c r="B461" s="28"/>
      <c r="C461" s="1377" t="s">
        <v>6316</v>
      </c>
      <c r="D461" s="28"/>
    </row>
    <row r="462" spans="1:4" ht="12.75" customHeight="1" x14ac:dyDescent="0.35">
      <c r="A462" s="28"/>
      <c r="B462" s="28"/>
      <c r="C462" s="1377" t="s">
        <v>6317</v>
      </c>
      <c r="D462" s="28"/>
    </row>
    <row r="463" spans="1:4" ht="12.75" customHeight="1" x14ac:dyDescent="0.35">
      <c r="A463" s="28"/>
      <c r="B463" s="28"/>
      <c r="C463" s="28" t="s">
        <v>3090</v>
      </c>
      <c r="D463" s="28"/>
    </row>
    <row r="464" spans="1:4" ht="12.75" customHeight="1" x14ac:dyDescent="0.35">
      <c r="A464" s="28"/>
      <c r="B464" s="28"/>
      <c r="C464" s="28" t="s">
        <v>3091</v>
      </c>
      <c r="D464" s="28"/>
    </row>
    <row r="465" spans="1:4" ht="12.75" customHeight="1" x14ac:dyDescent="0.35">
      <c r="A465" s="28"/>
      <c r="B465" s="28"/>
      <c r="C465" s="28" t="s">
        <v>3092</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3093</v>
      </c>
      <c r="C472" s="28"/>
      <c r="D472" s="28"/>
    </row>
    <row r="473" spans="1:4" ht="12.75" customHeight="1" x14ac:dyDescent="0.35">
      <c r="A473" s="28"/>
      <c r="B473" s="28" t="s">
        <v>5548</v>
      </c>
      <c r="C473" s="28"/>
      <c r="D473" s="28"/>
    </row>
    <row r="474" spans="1:4" ht="12.75" customHeight="1" x14ac:dyDescent="0.35">
      <c r="A474" s="28"/>
      <c r="B474" s="28" t="s">
        <v>5549</v>
      </c>
      <c r="C474" s="28"/>
      <c r="D474" s="28"/>
    </row>
    <row r="475" spans="1:4" ht="12.75" customHeight="1" x14ac:dyDescent="0.35">
      <c r="A475" s="28"/>
      <c r="B475" s="28" t="s">
        <v>3094</v>
      </c>
      <c r="C475" s="28"/>
      <c r="D475" s="28"/>
    </row>
    <row r="476" spans="1:4" ht="12.75" customHeight="1" x14ac:dyDescent="0.35">
      <c r="A476" s="28"/>
      <c r="B476" s="28"/>
      <c r="C476" s="28" t="s">
        <v>3091</v>
      </c>
      <c r="D476" s="28"/>
    </row>
    <row r="477" spans="1:4" ht="12.75" customHeight="1" x14ac:dyDescent="0.35">
      <c r="A477" s="28"/>
      <c r="B477" s="28"/>
      <c r="C477" s="28" t="s">
        <v>3095</v>
      </c>
      <c r="D477" s="28"/>
    </row>
    <row r="478" spans="1:4" ht="12.75" customHeight="1" x14ac:dyDescent="0.35">
      <c r="A478" s="28"/>
      <c r="B478" s="28"/>
      <c r="C478" s="28" t="s">
        <v>3096</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C485" s="28"/>
      <c r="D485" s="28"/>
    </row>
    <row r="486" spans="1:4" ht="12.75" customHeight="1" x14ac:dyDescent="0.35">
      <c r="A486" s="28"/>
      <c r="B486" s="105" t="s">
        <v>3097</v>
      </c>
      <c r="C486" s="28"/>
      <c r="D486" s="28"/>
    </row>
    <row r="487" spans="1:4" ht="12.75" customHeight="1" x14ac:dyDescent="0.35">
      <c r="A487" s="28"/>
      <c r="B487" s="1250" t="s">
        <v>5610</v>
      </c>
      <c r="C487" s="28"/>
      <c r="D487" s="28"/>
    </row>
    <row r="488" spans="1:4" ht="12.75" customHeight="1" x14ac:dyDescent="0.35">
      <c r="A488" s="28"/>
      <c r="B488" s="28" t="s">
        <v>3098</v>
      </c>
      <c r="C488" s="28"/>
      <c r="D488" s="28"/>
    </row>
    <row r="489" spans="1:4" ht="12.75" customHeight="1" x14ac:dyDescent="0.35">
      <c r="A489" s="28"/>
      <c r="B489" s="28" t="s">
        <v>5548</v>
      </c>
      <c r="C489" s="28"/>
      <c r="D489" s="28"/>
    </row>
    <row r="490" spans="1:4" ht="12.75" customHeight="1" x14ac:dyDescent="0.35">
      <c r="A490" s="28"/>
      <c r="B490" s="28" t="s">
        <v>5339</v>
      </c>
      <c r="C490" s="28"/>
      <c r="D490" s="28"/>
    </row>
    <row r="491" spans="1:4" ht="12.75" customHeight="1" x14ac:dyDescent="0.35">
      <c r="A491" s="28"/>
      <c r="B491" s="28" t="s">
        <v>3052</v>
      </c>
      <c r="C491" s="28"/>
      <c r="D491" s="28"/>
    </row>
    <row r="492" spans="1:4" ht="12.75" customHeight="1" x14ac:dyDescent="0.35">
      <c r="A492" s="28"/>
      <c r="B492" s="28"/>
      <c r="C492" s="28" t="s">
        <v>3099</v>
      </c>
      <c r="D492" s="28"/>
    </row>
    <row r="493" spans="1:4" ht="12.75" customHeight="1" x14ac:dyDescent="0.35">
      <c r="A493" s="28"/>
      <c r="B493" s="28"/>
      <c r="C493" s="28" t="s">
        <v>3100</v>
      </c>
      <c r="D493" s="28"/>
    </row>
    <row r="494" spans="1:4" ht="12.75" customHeight="1" x14ac:dyDescent="0.35">
      <c r="A494" s="28"/>
      <c r="B494" s="28" t="s">
        <v>3101</v>
      </c>
      <c r="C494" s="28"/>
      <c r="D494" s="28"/>
    </row>
    <row r="495" spans="1:4" ht="12.75" customHeight="1" x14ac:dyDescent="0.35">
      <c r="A495" s="28"/>
      <c r="B495" s="28" t="s">
        <v>5548</v>
      </c>
      <c r="C495" s="28"/>
      <c r="D495" s="28"/>
    </row>
    <row r="496" spans="1:4" ht="12.75" customHeight="1" x14ac:dyDescent="0.35">
      <c r="A496" s="28"/>
      <c r="B496" s="28" t="s">
        <v>5338</v>
      </c>
      <c r="C496" s="28"/>
      <c r="D496" s="28"/>
    </row>
    <row r="497" spans="1:4" ht="12.75" customHeight="1" x14ac:dyDescent="0.35">
      <c r="A497" s="28"/>
      <c r="B497" s="28" t="s">
        <v>3102</v>
      </c>
      <c r="C497" s="28"/>
      <c r="D497" s="28"/>
    </row>
    <row r="498" spans="1:4" ht="12.75" customHeight="1" x14ac:dyDescent="0.35">
      <c r="A498" s="28"/>
      <c r="B498" s="28"/>
      <c r="C498" s="28" t="s">
        <v>3102</v>
      </c>
      <c r="D498" s="28"/>
    </row>
    <row r="499" spans="1:4" ht="12.75" customHeight="1" x14ac:dyDescent="0.35">
      <c r="A499" s="28"/>
      <c r="B499" s="28"/>
      <c r="C499" s="28" t="s">
        <v>3103</v>
      </c>
      <c r="D499" s="28"/>
    </row>
    <row r="500" spans="1:4" ht="12.75" customHeight="1" x14ac:dyDescent="0.35">
      <c r="A500" s="28"/>
      <c r="B500" s="28" t="s">
        <v>3104</v>
      </c>
      <c r="C500" s="28"/>
      <c r="D500" s="28"/>
    </row>
    <row r="501" spans="1:4" ht="12.75" customHeight="1" x14ac:dyDescent="0.35">
      <c r="A501" s="28"/>
      <c r="B501" s="28" t="s">
        <v>3105</v>
      </c>
      <c r="C501" s="28"/>
      <c r="D501" s="28"/>
    </row>
    <row r="502" spans="1:4" ht="12.75" customHeight="1" x14ac:dyDescent="0.35">
      <c r="A502" s="28"/>
      <c r="B502" s="28"/>
      <c r="C502" s="194" t="s">
        <v>5540</v>
      </c>
      <c r="D502" s="28"/>
    </row>
    <row r="503" spans="1:4" ht="12.75" customHeight="1" x14ac:dyDescent="0.35">
      <c r="A503" s="28"/>
      <c r="B503" s="28"/>
      <c r="C503" s="28" t="s">
        <v>3106</v>
      </c>
      <c r="D503" s="28"/>
    </row>
    <row r="504" spans="1:4" ht="12.75" customHeight="1" x14ac:dyDescent="0.35">
      <c r="A504" s="28"/>
      <c r="B504" s="28" t="s">
        <v>3107</v>
      </c>
      <c r="C504" s="28"/>
      <c r="D504" s="28"/>
    </row>
    <row r="505" spans="1:4" ht="12.75" customHeight="1" x14ac:dyDescent="0.35">
      <c r="A505" s="28"/>
      <c r="B505" s="28" t="s">
        <v>3108</v>
      </c>
      <c r="C505" s="28"/>
      <c r="D505" s="28"/>
    </row>
    <row r="506" spans="1:4" ht="12.75" customHeight="1" x14ac:dyDescent="0.35">
      <c r="A506" s="28"/>
      <c r="B506" s="28"/>
      <c r="C506" s="28" t="s">
        <v>3109</v>
      </c>
      <c r="D506" s="28"/>
    </row>
    <row r="507" spans="1:4" ht="12.75" customHeight="1" x14ac:dyDescent="0.35">
      <c r="A507" s="28"/>
      <c r="C507" s="28" t="str">
        <f>IF(CalculatedDepreciation,"Övriga b","B")&amp;"okslutsdispositioner, ökning (-) / minskning (+)"</f>
        <v>Bokslutsdispositioner, ökning (-) / minskning (+)</v>
      </c>
      <c r="D507" s="28"/>
    </row>
    <row r="508" spans="1:4" ht="12.75" customHeight="1" x14ac:dyDescent="0.35">
      <c r="A508" s="28"/>
      <c r="B508" s="28" t="s">
        <v>3110</v>
      </c>
      <c r="C508" s="28"/>
      <c r="D508" s="28"/>
    </row>
    <row r="509" spans="1:4" ht="12.75" customHeight="1" x14ac:dyDescent="0.35">
      <c r="A509" s="28"/>
      <c r="B509" s="105" t="s">
        <v>3111</v>
      </c>
      <c r="C509" s="28"/>
      <c r="D509" s="28"/>
    </row>
    <row r="510" spans="1:4" ht="12.75" customHeight="1" x14ac:dyDescent="0.35">
      <c r="A510" s="28"/>
      <c r="B510" s="28" t="s">
        <v>3112</v>
      </c>
      <c r="C510" s="28"/>
      <c r="D510" s="28"/>
    </row>
    <row r="511" spans="1:4" ht="12.75" customHeight="1" x14ac:dyDescent="0.35">
      <c r="A511" s="28"/>
      <c r="B511" s="28" t="s">
        <v>3113</v>
      </c>
      <c r="C511" s="28"/>
      <c r="D511" s="28"/>
    </row>
    <row r="512" spans="1:4" ht="12.75" customHeight="1" x14ac:dyDescent="0.35">
      <c r="A512" s="28"/>
      <c r="B512" s="28" t="s">
        <v>5548</v>
      </c>
      <c r="C512" s="28"/>
      <c r="D512" s="28"/>
    </row>
    <row r="513" spans="1:4" ht="12.75" customHeight="1" x14ac:dyDescent="0.35">
      <c r="A513" s="28"/>
      <c r="B513" s="28" t="s">
        <v>5550</v>
      </c>
      <c r="C513" s="28"/>
      <c r="D513" s="28"/>
    </row>
    <row r="514" spans="1:4" ht="12.75" customHeight="1" x14ac:dyDescent="0.35">
      <c r="A514" s="28"/>
      <c r="B514" s="28" t="s">
        <v>3114</v>
      </c>
      <c r="C514" s="28"/>
      <c r="D514" s="28"/>
    </row>
    <row r="515" spans="1:4" ht="12.75" customHeight="1" x14ac:dyDescent="0.35">
      <c r="A515" s="28"/>
      <c r="B515" s="28" t="s">
        <v>3115</v>
      </c>
      <c r="C515" s="28"/>
      <c r="D515" s="28"/>
    </row>
    <row r="516" spans="1:4" ht="12.75" customHeight="1" x14ac:dyDescent="0.35">
      <c r="A516" s="28"/>
      <c r="B516" s="28" t="s">
        <v>3116</v>
      </c>
      <c r="C516" s="28"/>
      <c r="D516" s="28"/>
    </row>
    <row r="517" spans="1:4" ht="12.75" customHeight="1" x14ac:dyDescent="0.35">
      <c r="A517" s="28"/>
      <c r="B517" s="28" t="s">
        <v>3117</v>
      </c>
      <c r="C517" s="28"/>
      <c r="D517" s="28"/>
    </row>
    <row r="518" spans="1:4" ht="12.75" customHeight="1" x14ac:dyDescent="0.35">
      <c r="A518" s="28"/>
      <c r="B518" s="28" t="s">
        <v>3118</v>
      </c>
      <c r="C518" s="28"/>
      <c r="D518" s="28"/>
    </row>
    <row r="519" spans="1:4" ht="12.75" customHeight="1" x14ac:dyDescent="0.35">
      <c r="A519" s="28"/>
      <c r="B519" s="28" t="s">
        <v>3119</v>
      </c>
      <c r="C519" s="28"/>
      <c r="D519" s="28"/>
    </row>
    <row r="520" spans="1:4" ht="12.75" customHeight="1" x14ac:dyDescent="0.35">
      <c r="A520" s="28"/>
      <c r="B520" s="28" t="s">
        <v>3120</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3121</v>
      </c>
      <c r="C523" s="28"/>
      <c r="D523" s="28"/>
    </row>
    <row r="524" spans="1:4" ht="12.75" customHeight="1" x14ac:dyDescent="0.35">
      <c r="A524" s="28"/>
      <c r="B524" s="28" t="s">
        <v>3122</v>
      </c>
      <c r="C524" s="28"/>
      <c r="D524" s="28"/>
    </row>
    <row r="525" spans="1:4" ht="12.75" customHeight="1" x14ac:dyDescent="0.35">
      <c r="A525" s="28"/>
      <c r="B525" s="28" t="s">
        <v>3052</v>
      </c>
      <c r="C525" s="28"/>
      <c r="D525" s="28"/>
    </row>
    <row r="526" spans="1:4" ht="12.75" customHeight="1" x14ac:dyDescent="0.35">
      <c r="A526" s="28"/>
      <c r="B526" s="28" t="s">
        <v>3123</v>
      </c>
      <c r="C526" s="28"/>
      <c r="D526" s="28"/>
    </row>
    <row r="527" spans="1:4" ht="12.75" customHeight="1" x14ac:dyDescent="0.35">
      <c r="A527" s="28"/>
      <c r="B527" s="28" t="s">
        <v>3124</v>
      </c>
      <c r="C527" s="28"/>
      <c r="D527" s="28"/>
    </row>
    <row r="528" spans="1:4" ht="12.75" customHeight="1" x14ac:dyDescent="0.35">
      <c r="A528" s="28"/>
      <c r="B528" s="28" t="s">
        <v>3125</v>
      </c>
      <c r="C528" s="28"/>
      <c r="D528" s="28"/>
    </row>
    <row r="529" spans="1:4" ht="12.75" customHeight="1" x14ac:dyDescent="0.35">
      <c r="A529" s="28"/>
      <c r="B529" s="28" t="s">
        <v>3126</v>
      </c>
      <c r="C529" s="28"/>
      <c r="D529" s="28"/>
    </row>
    <row r="530" spans="1:4" ht="12.75" customHeight="1" x14ac:dyDescent="0.35">
      <c r="A530" s="28"/>
      <c r="B530" s="28" t="s">
        <v>3127</v>
      </c>
      <c r="C530" s="28"/>
      <c r="D530" s="28"/>
    </row>
    <row r="531" spans="1:4" ht="12.75" customHeight="1" x14ac:dyDescent="0.35">
      <c r="A531" s="28"/>
      <c r="B531" s="28" t="s">
        <v>3128</v>
      </c>
      <c r="C531" s="28"/>
      <c r="D531" s="28"/>
    </row>
    <row r="532" spans="1:4" ht="12.75" customHeight="1" x14ac:dyDescent="0.35">
      <c r="A532" s="28"/>
      <c r="B532" s="28" t="s">
        <v>3129</v>
      </c>
      <c r="C532" s="28"/>
      <c r="D532" s="28"/>
    </row>
    <row r="533" spans="1:4" ht="12.75" customHeight="1" x14ac:dyDescent="0.35">
      <c r="A533" s="28"/>
      <c r="B533" s="28" t="s">
        <v>3130</v>
      </c>
      <c r="C533" s="28"/>
      <c r="D533" s="28"/>
    </row>
    <row r="534" spans="1:4" ht="12.75" customHeight="1" x14ac:dyDescent="0.35">
      <c r="A534" s="28"/>
      <c r="B534" s="28" t="s">
        <v>3131</v>
      </c>
      <c r="C534" s="28"/>
      <c r="D534" s="28"/>
    </row>
    <row r="535" spans="1:4" ht="12.75" customHeight="1" x14ac:dyDescent="0.35">
      <c r="A535" s="28"/>
      <c r="B535" s="28" t="s">
        <v>3132</v>
      </c>
      <c r="C535" s="28"/>
      <c r="D535" s="28"/>
    </row>
    <row r="536" spans="1:4" ht="12.75" customHeight="1" x14ac:dyDescent="0.35">
      <c r="A536" s="28"/>
      <c r="B536" s="28" t="s">
        <v>3133</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3134</v>
      </c>
      <c r="C542" s="28"/>
      <c r="D542" s="28"/>
    </row>
    <row r="543" spans="1:4" ht="12.75" customHeight="1" x14ac:dyDescent="0.35">
      <c r="A543" s="28"/>
      <c r="B543" s="28"/>
      <c r="C543" s="28"/>
      <c r="D543" s="28"/>
    </row>
    <row r="544" spans="1:4" ht="12.75" customHeight="1" x14ac:dyDescent="0.35">
      <c r="A544" s="28"/>
      <c r="B544" s="28" t="s">
        <v>3044</v>
      </c>
      <c r="C544" s="28"/>
      <c r="D544" s="28"/>
    </row>
    <row r="545" spans="1:4" ht="12.75" customHeight="1" x14ac:dyDescent="0.35">
      <c r="A545" s="28"/>
      <c r="B545" s="28" t="s">
        <v>4738</v>
      </c>
      <c r="C545" s="28"/>
      <c r="D545" s="28"/>
    </row>
    <row r="546" spans="1:4" ht="12.75" customHeight="1" x14ac:dyDescent="0.35">
      <c r="A546" s="28"/>
      <c r="B546" s="28"/>
      <c r="C546" s="194" t="s">
        <v>5541</v>
      </c>
      <c r="D546" s="28"/>
    </row>
    <row r="547" spans="1:4" ht="12.75" customHeight="1" x14ac:dyDescent="0.35">
      <c r="A547" s="28"/>
      <c r="B547" s="28"/>
      <c r="C547" s="194" t="s">
        <v>5518</v>
      </c>
      <c r="D547" s="28"/>
    </row>
    <row r="548" spans="1:4" ht="12.75" customHeight="1" x14ac:dyDescent="0.35">
      <c r="A548" s="28"/>
      <c r="B548" s="28"/>
      <c r="C548" s="194" t="s">
        <v>5519</v>
      </c>
      <c r="D548" s="28"/>
    </row>
    <row r="549" spans="1:4" ht="12.75" customHeight="1" x14ac:dyDescent="0.35">
      <c r="A549" s="28"/>
      <c r="B549" s="28"/>
      <c r="C549" s="194" t="s">
        <v>5421</v>
      </c>
      <c r="D549" s="28"/>
    </row>
    <row r="550" spans="1:4" ht="12.75" customHeight="1" x14ac:dyDescent="0.35">
      <c r="A550" s="28"/>
      <c r="C550" s="194" t="s">
        <v>5541</v>
      </c>
    </row>
    <row r="551" spans="1:4" ht="12.75" customHeight="1" x14ac:dyDescent="0.35">
      <c r="A551" s="28"/>
      <c r="C551" s="194" t="s">
        <v>5520</v>
      </c>
    </row>
    <row r="552" spans="1:4" ht="12.75" customHeight="1" x14ac:dyDescent="0.35">
      <c r="A552" s="28"/>
      <c r="C552" s="194" t="s">
        <v>5519</v>
      </c>
    </row>
    <row r="553" spans="1:4" ht="12.75" customHeight="1" x14ac:dyDescent="0.35">
      <c r="A553" s="28"/>
      <c r="C553" s="194" t="s">
        <v>5421</v>
      </c>
    </row>
    <row r="554" spans="1:4" ht="12.75" customHeight="1" x14ac:dyDescent="0.35">
      <c r="A554" s="28"/>
      <c r="C554" s="194" t="s">
        <v>5541</v>
      </c>
    </row>
    <row r="555" spans="1:4" ht="12.75" customHeight="1" x14ac:dyDescent="0.35">
      <c r="A555" s="28"/>
      <c r="B555" s="28"/>
      <c r="C555" s="194" t="s">
        <v>5521</v>
      </c>
      <c r="D555" s="28"/>
    </row>
    <row r="556" spans="1:4" ht="12.75" customHeight="1" x14ac:dyDescent="0.35">
      <c r="A556" s="28"/>
      <c r="B556" s="28"/>
      <c r="C556" s="194" t="s">
        <v>5519</v>
      </c>
      <c r="D556" s="28"/>
    </row>
    <row r="557" spans="1:4" ht="12.75" customHeight="1" x14ac:dyDescent="0.35">
      <c r="A557" s="28"/>
      <c r="B557" s="28"/>
      <c r="C557" s="194" t="s">
        <v>5421</v>
      </c>
      <c r="D557" s="28"/>
    </row>
    <row r="558" spans="1:4" ht="12.75" customHeight="1" x14ac:dyDescent="0.35">
      <c r="A558" s="28"/>
      <c r="B558" s="28"/>
      <c r="C558" s="194" t="s">
        <v>5541</v>
      </c>
      <c r="D558" s="28"/>
    </row>
    <row r="559" spans="1:4" ht="12.75" customHeight="1" x14ac:dyDescent="0.35">
      <c r="A559" s="28"/>
      <c r="B559" s="28"/>
      <c r="C559" s="194" t="s">
        <v>5522</v>
      </c>
      <c r="D559" s="28"/>
    </row>
    <row r="560" spans="1:4" ht="12.75" customHeight="1" x14ac:dyDescent="0.35">
      <c r="A560" s="28"/>
      <c r="B560" s="28"/>
      <c r="C560" s="194" t="s">
        <v>5519</v>
      </c>
      <c r="D560" s="28"/>
    </row>
    <row r="561" spans="1:4" ht="12.75" customHeight="1" x14ac:dyDescent="0.35">
      <c r="A561" s="28"/>
      <c r="B561" s="28"/>
      <c r="C561" s="194" t="s">
        <v>5421</v>
      </c>
      <c r="D561" s="28"/>
    </row>
    <row r="562" spans="1:4" ht="12.75" customHeight="1" x14ac:dyDescent="0.35">
      <c r="A562" s="28"/>
      <c r="B562" s="28"/>
      <c r="C562" s="194" t="s">
        <v>5541</v>
      </c>
      <c r="D562" s="28"/>
    </row>
    <row r="563" spans="1:4" ht="12.75" customHeight="1" x14ac:dyDescent="0.35">
      <c r="A563" s="28"/>
      <c r="B563" s="28"/>
      <c r="C563" s="194" t="s">
        <v>5523</v>
      </c>
      <c r="D563" s="28"/>
    </row>
    <row r="564" spans="1:4" ht="12.75" customHeight="1" x14ac:dyDescent="0.35">
      <c r="A564" s="28"/>
      <c r="B564" s="28"/>
      <c r="C564" s="194" t="s">
        <v>5519</v>
      </c>
      <c r="D564" s="28"/>
    </row>
    <row r="565" spans="1:4" ht="12.75" customHeight="1" x14ac:dyDescent="0.35">
      <c r="A565" s="28"/>
      <c r="B565" s="28"/>
      <c r="C565" s="194" t="s">
        <v>5421</v>
      </c>
      <c r="D565" s="28"/>
    </row>
    <row r="566" spans="1:4" ht="12.75" customHeight="1" x14ac:dyDescent="0.35">
      <c r="A566" s="28"/>
      <c r="B566" s="28"/>
      <c r="C566" s="1250" t="s">
        <v>5616</v>
      </c>
      <c r="D566" s="28"/>
    </row>
    <row r="567" spans="1:4" ht="12.75" customHeight="1" x14ac:dyDescent="0.35">
      <c r="A567" s="28"/>
      <c r="B567" s="28"/>
      <c r="C567" s="1250" t="s">
        <v>5617</v>
      </c>
      <c r="D567" s="28"/>
    </row>
    <row r="568" spans="1:4" ht="12.75" customHeight="1" x14ac:dyDescent="0.35">
      <c r="A568" s="28"/>
      <c r="B568" s="28"/>
      <c r="C568" s="28" t="s">
        <v>3135</v>
      </c>
      <c r="D568" s="28"/>
    </row>
    <row r="569" spans="1:4" ht="12.75" customHeight="1" x14ac:dyDescent="0.35">
      <c r="A569" s="28"/>
      <c r="B569" s="28"/>
      <c r="C569" s="28" t="s">
        <v>3136</v>
      </c>
      <c r="D569" s="28"/>
    </row>
    <row r="570" spans="1:4" ht="12.75" customHeight="1" x14ac:dyDescent="0.35">
      <c r="A570" s="28"/>
      <c r="B570" s="28"/>
      <c r="C570" s="1250" t="s">
        <v>5624</v>
      </c>
      <c r="D570" s="28"/>
    </row>
    <row r="571" spans="1:4" ht="12.75" customHeight="1" x14ac:dyDescent="0.35">
      <c r="A571" s="28"/>
      <c r="B571" s="28"/>
      <c r="C571" s="1250" t="s">
        <v>5625</v>
      </c>
      <c r="D571" s="28"/>
    </row>
    <row r="572" spans="1:4" ht="12.75" customHeight="1" x14ac:dyDescent="0.35">
      <c r="A572" s="28"/>
      <c r="B572" s="28"/>
      <c r="C572" s="28" t="s">
        <v>2932</v>
      </c>
      <c r="D572" s="28"/>
    </row>
    <row r="573" spans="1:4" ht="12.75" customHeight="1" x14ac:dyDescent="0.35">
      <c r="A573" s="28"/>
      <c r="B573" s="28"/>
      <c r="C573" s="28" t="s">
        <v>3137</v>
      </c>
      <c r="D573" s="28"/>
    </row>
    <row r="574" spans="1:4" ht="12.75" customHeight="1" x14ac:dyDescent="0.35">
      <c r="A574" s="28"/>
      <c r="B574" s="28"/>
      <c r="C574" s="28" t="s">
        <v>5517</v>
      </c>
      <c r="D574" s="28"/>
    </row>
    <row r="575" spans="1:4" ht="12.75" customHeight="1" x14ac:dyDescent="0.35">
      <c r="A575" s="28"/>
      <c r="B575" s="28" t="s">
        <v>3138</v>
      </c>
      <c r="C575" s="28"/>
      <c r="D575" s="28"/>
    </row>
    <row r="576" spans="1:4" ht="12.75" customHeight="1" x14ac:dyDescent="0.35">
      <c r="A576" s="28"/>
      <c r="B576" s="28"/>
      <c r="C576" s="194" t="s">
        <v>5420</v>
      </c>
      <c r="D576" s="28"/>
    </row>
    <row r="577" spans="1:4" ht="12.75" customHeight="1" x14ac:dyDescent="0.35">
      <c r="A577" s="28"/>
      <c r="B577" s="28"/>
      <c r="C577" s="194" t="s">
        <v>3138</v>
      </c>
      <c r="D577" s="28"/>
    </row>
    <row r="578" spans="1:4" ht="12.75" customHeight="1" x14ac:dyDescent="0.35">
      <c r="A578" s="28"/>
      <c r="B578" s="28"/>
      <c r="C578" s="194" t="s">
        <v>5534</v>
      </c>
      <c r="D578" s="28"/>
    </row>
    <row r="579" spans="1:4" ht="12.75" customHeight="1" x14ac:dyDescent="0.35">
      <c r="A579" s="28"/>
      <c r="C579" s="194" t="s">
        <v>5421</v>
      </c>
      <c r="D579" s="28"/>
    </row>
    <row r="580" spans="1:4" ht="12.75" customHeight="1" x14ac:dyDescent="0.35">
      <c r="A580" s="28"/>
      <c r="B580" s="28"/>
      <c r="C580" s="194" t="s">
        <v>5420</v>
      </c>
      <c r="D580" s="28"/>
    </row>
    <row r="581" spans="1:4" ht="12.75" customHeight="1" x14ac:dyDescent="0.35">
      <c r="A581" s="28"/>
      <c r="B581" s="28"/>
      <c r="C581" s="194" t="s">
        <v>5422</v>
      </c>
      <c r="D581" s="28"/>
    </row>
    <row r="582" spans="1:4" ht="12.75" customHeight="1" x14ac:dyDescent="0.35">
      <c r="A582" s="28"/>
      <c r="B582" s="28"/>
      <c r="C582" s="194" t="s">
        <v>5534</v>
      </c>
      <c r="D582" s="28"/>
    </row>
    <row r="583" spans="1:4" ht="12.75" customHeight="1" x14ac:dyDescent="0.35">
      <c r="A583" s="28"/>
      <c r="C583" s="194" t="s">
        <v>5421</v>
      </c>
      <c r="D583" s="28"/>
    </row>
    <row r="584" spans="1:4" ht="12.75" customHeight="1" x14ac:dyDescent="0.35">
      <c r="A584" s="28"/>
      <c r="B584" s="28"/>
      <c r="C584" s="194" t="s">
        <v>5420</v>
      </c>
      <c r="D584" s="28"/>
    </row>
    <row r="585" spans="1:4" ht="12.75" customHeight="1" x14ac:dyDescent="0.35">
      <c r="A585" s="28"/>
      <c r="B585" s="28"/>
      <c r="C585" s="194" t="s">
        <v>5423</v>
      </c>
      <c r="D585" s="28"/>
    </row>
    <row r="586" spans="1:4" ht="12.75" customHeight="1" x14ac:dyDescent="0.35">
      <c r="A586" s="28"/>
      <c r="B586" s="28"/>
      <c r="C586" s="194" t="s">
        <v>5534</v>
      </c>
      <c r="D586" s="28"/>
    </row>
    <row r="587" spans="1:4" ht="12.75" customHeight="1" x14ac:dyDescent="0.35">
      <c r="A587" s="28"/>
      <c r="C587" s="194" t="s">
        <v>5421</v>
      </c>
      <c r="D587" s="28"/>
    </row>
    <row r="588" spans="1:4" ht="12.75" customHeight="1" x14ac:dyDescent="0.35">
      <c r="A588" s="28"/>
      <c r="B588" s="28"/>
      <c r="C588" s="194" t="s">
        <v>5420</v>
      </c>
      <c r="D588" s="28"/>
    </row>
    <row r="589" spans="1:4" ht="12.75" customHeight="1" x14ac:dyDescent="0.35">
      <c r="A589" s="28"/>
      <c r="B589" s="28"/>
      <c r="C589" s="194" t="s">
        <v>5424</v>
      </c>
      <c r="D589" s="28"/>
    </row>
    <row r="590" spans="1:4" ht="12.75" customHeight="1" x14ac:dyDescent="0.35">
      <c r="A590" s="28"/>
      <c r="B590" s="28"/>
      <c r="C590" s="194" t="s">
        <v>5534</v>
      </c>
      <c r="D590" s="28"/>
    </row>
    <row r="591" spans="1:4" ht="12.75" customHeight="1" x14ac:dyDescent="0.35">
      <c r="A591" s="28"/>
      <c r="C591" s="194" t="s">
        <v>5421</v>
      </c>
      <c r="D591" s="28"/>
    </row>
    <row r="592" spans="1:4" ht="12.75" customHeight="1" x14ac:dyDescent="0.35">
      <c r="A592" s="28"/>
      <c r="B592" s="28"/>
      <c r="C592" s="194" t="s">
        <v>5420</v>
      </c>
      <c r="D592" s="28"/>
    </row>
    <row r="593" spans="1:4" ht="12.75" customHeight="1" x14ac:dyDescent="0.35">
      <c r="A593" s="28"/>
      <c r="B593" s="28"/>
      <c r="C593" s="194" t="s">
        <v>5425</v>
      </c>
      <c r="D593" s="28"/>
    </row>
    <row r="594" spans="1:4" ht="12.75" customHeight="1" x14ac:dyDescent="0.35">
      <c r="A594" s="28"/>
      <c r="B594" s="28"/>
      <c r="C594" s="194" t="s">
        <v>5534</v>
      </c>
      <c r="D594" s="28"/>
    </row>
    <row r="595" spans="1:4" ht="12.75" customHeight="1" x14ac:dyDescent="0.35">
      <c r="A595" s="28"/>
      <c r="C595" s="194" t="s">
        <v>5421</v>
      </c>
      <c r="D595" s="28"/>
    </row>
    <row r="596" spans="1:4" ht="12.75" customHeight="1" x14ac:dyDescent="0.35">
      <c r="A596" s="28"/>
      <c r="B596" s="28"/>
      <c r="C596" s="28" t="s">
        <v>3139</v>
      </c>
      <c r="D596" s="28"/>
    </row>
    <row r="597" spans="1:4" ht="12.75" customHeight="1" x14ac:dyDescent="0.35">
      <c r="A597" s="28"/>
      <c r="B597" s="28" t="s">
        <v>3140</v>
      </c>
      <c r="C597" s="28"/>
      <c r="D597" s="28"/>
    </row>
    <row r="598" spans="1:4" ht="12.75" customHeight="1" x14ac:dyDescent="0.35">
      <c r="A598" s="28"/>
      <c r="B598" s="28"/>
      <c r="C598" s="194" t="s">
        <v>5414</v>
      </c>
      <c r="D598" s="28"/>
    </row>
    <row r="599" spans="1:4" ht="12.75" customHeight="1" x14ac:dyDescent="0.35">
      <c r="A599" s="28"/>
      <c r="B599" s="28"/>
      <c r="C599" s="194" t="s">
        <v>3141</v>
      </c>
      <c r="D599" s="28"/>
    </row>
    <row r="600" spans="1:4" ht="12.75" customHeight="1" x14ac:dyDescent="0.35">
      <c r="A600" s="28"/>
      <c r="B600" s="28"/>
      <c r="C600" s="194" t="s">
        <v>3142</v>
      </c>
      <c r="D600" s="28"/>
    </row>
    <row r="601" spans="1:4" ht="12.75" customHeight="1" x14ac:dyDescent="0.35">
      <c r="A601" s="28"/>
      <c r="B601" s="28"/>
      <c r="C601" s="194" t="s">
        <v>5415</v>
      </c>
      <c r="D601" s="28"/>
    </row>
    <row r="602" spans="1:4" ht="12.75" customHeight="1" x14ac:dyDescent="0.35">
      <c r="A602" s="28"/>
      <c r="B602" s="28"/>
      <c r="C602" s="194" t="s">
        <v>5414</v>
      </c>
      <c r="D602" s="28"/>
    </row>
    <row r="603" spans="1:4" ht="12.75" customHeight="1" x14ac:dyDescent="0.35">
      <c r="A603" s="28"/>
      <c r="B603" s="28"/>
      <c r="C603" s="194" t="s">
        <v>5416</v>
      </c>
      <c r="D603" s="28"/>
    </row>
    <row r="604" spans="1:4" ht="12.75" customHeight="1" x14ac:dyDescent="0.35">
      <c r="A604" s="28"/>
      <c r="B604" s="28"/>
      <c r="C604" s="194" t="s">
        <v>3142</v>
      </c>
      <c r="D604" s="28"/>
    </row>
    <row r="605" spans="1:4" ht="12.75" customHeight="1" x14ac:dyDescent="0.35">
      <c r="A605" s="28"/>
      <c r="B605" s="28"/>
      <c r="C605" s="194" t="s">
        <v>5415</v>
      </c>
      <c r="D605" s="28"/>
    </row>
    <row r="606" spans="1:4" ht="12.75" customHeight="1" x14ac:dyDescent="0.35">
      <c r="A606" s="28"/>
      <c r="B606" s="28"/>
      <c r="C606" s="194" t="s">
        <v>5414</v>
      </c>
      <c r="D606" s="28"/>
    </row>
    <row r="607" spans="1:4" ht="12.75" customHeight="1" x14ac:dyDescent="0.35">
      <c r="A607" s="28"/>
      <c r="B607" s="28"/>
      <c r="C607" s="194" t="s">
        <v>5417</v>
      </c>
      <c r="D607" s="28"/>
    </row>
    <row r="608" spans="1:4" ht="12.75" customHeight="1" x14ac:dyDescent="0.35">
      <c r="A608" s="28"/>
      <c r="B608" s="28"/>
      <c r="C608" s="194" t="s">
        <v>3142</v>
      </c>
      <c r="D608" s="28"/>
    </row>
    <row r="609" spans="1:4" ht="12.75" customHeight="1" x14ac:dyDescent="0.35">
      <c r="A609" s="28"/>
      <c r="B609" s="28"/>
      <c r="C609" s="194" t="s">
        <v>5415</v>
      </c>
      <c r="D609" s="28"/>
    </row>
    <row r="610" spans="1:4" ht="12.75" customHeight="1" x14ac:dyDescent="0.35">
      <c r="A610" s="28"/>
      <c r="B610" s="28"/>
      <c r="C610" s="194" t="s">
        <v>5414</v>
      </c>
      <c r="D610" s="28"/>
    </row>
    <row r="611" spans="1:4" ht="12.75" customHeight="1" x14ac:dyDescent="0.35">
      <c r="A611" s="28"/>
      <c r="B611" s="28"/>
      <c r="C611" s="194" t="s">
        <v>5418</v>
      </c>
      <c r="D611" s="28"/>
    </row>
    <row r="612" spans="1:4" ht="12.75" customHeight="1" x14ac:dyDescent="0.35">
      <c r="A612" s="28"/>
      <c r="B612" s="28"/>
      <c r="C612" s="194" t="s">
        <v>3142</v>
      </c>
      <c r="D612" s="28"/>
    </row>
    <row r="613" spans="1:4" ht="12.75" customHeight="1" x14ac:dyDescent="0.35">
      <c r="A613" s="28"/>
      <c r="B613" s="28"/>
      <c r="C613" s="194" t="s">
        <v>5415</v>
      </c>
      <c r="D613" s="28"/>
    </row>
    <row r="614" spans="1:4" ht="12.75" customHeight="1" x14ac:dyDescent="0.35">
      <c r="A614" s="28"/>
      <c r="B614" s="28"/>
      <c r="C614" s="194" t="s">
        <v>5414</v>
      </c>
      <c r="D614" s="28"/>
    </row>
    <row r="615" spans="1:4" ht="12.75" customHeight="1" x14ac:dyDescent="0.35">
      <c r="A615" s="28"/>
      <c r="B615" s="28"/>
      <c r="C615" s="194" t="s">
        <v>5419</v>
      </c>
      <c r="D615" s="28"/>
    </row>
    <row r="616" spans="1:4" ht="12.75" customHeight="1" x14ac:dyDescent="0.35">
      <c r="A616" s="28"/>
      <c r="B616" s="28"/>
      <c r="C616" s="194" t="s">
        <v>3142</v>
      </c>
      <c r="D616" s="28"/>
    </row>
    <row r="617" spans="1:4" ht="12.75" customHeight="1" x14ac:dyDescent="0.35">
      <c r="A617" s="28"/>
      <c r="B617" s="28"/>
      <c r="C617" s="194" t="s">
        <v>5415</v>
      </c>
      <c r="D617" s="28"/>
    </row>
    <row r="618" spans="1:4" ht="12.75" customHeight="1" x14ac:dyDescent="0.35">
      <c r="A618" s="28"/>
      <c r="B618" s="28"/>
      <c r="C618" s="1250" t="s">
        <v>5636</v>
      </c>
      <c r="D618" s="28"/>
    </row>
    <row r="619" spans="1:4" ht="12.75" customHeight="1" x14ac:dyDescent="0.35">
      <c r="A619" s="28"/>
      <c r="B619" s="28"/>
      <c r="C619" s="1250" t="s">
        <v>5637</v>
      </c>
      <c r="D619" s="28"/>
    </row>
    <row r="620" spans="1:4" ht="12.75" customHeight="1" x14ac:dyDescent="0.35">
      <c r="A620" s="28"/>
      <c r="B620" s="28"/>
      <c r="C620" s="28" t="s">
        <v>3143</v>
      </c>
      <c r="D620" s="28"/>
    </row>
    <row r="621" spans="1:4" ht="12.75" customHeight="1" x14ac:dyDescent="0.35">
      <c r="A621" s="28"/>
      <c r="B621" s="28"/>
      <c r="C621" s="28" t="s">
        <v>3144</v>
      </c>
      <c r="D621" s="28"/>
    </row>
    <row r="622" spans="1:4" ht="12.75" customHeight="1" x14ac:dyDescent="0.35">
      <c r="A622" s="28"/>
      <c r="B622" s="28"/>
      <c r="C622" s="1250" t="s">
        <v>5648</v>
      </c>
      <c r="D622" s="28"/>
    </row>
    <row r="623" spans="1:4" ht="12.75" customHeight="1" x14ac:dyDescent="0.35">
      <c r="A623" s="28"/>
      <c r="B623" s="28"/>
      <c r="C623" s="1250" t="s">
        <v>5649</v>
      </c>
      <c r="D623" s="28"/>
    </row>
    <row r="624" spans="1:4" ht="12.75" customHeight="1" x14ac:dyDescent="0.35">
      <c r="A624" s="28"/>
      <c r="B624" s="28"/>
      <c r="C624" s="28" t="s">
        <v>3145</v>
      </c>
      <c r="D624" s="28"/>
    </row>
    <row r="625" spans="1:4" ht="12.75" customHeight="1" x14ac:dyDescent="0.35">
      <c r="A625" s="28"/>
      <c r="B625" s="28" t="s">
        <v>3146</v>
      </c>
      <c r="C625" s="28"/>
      <c r="D625" s="28"/>
    </row>
    <row r="626" spans="1:4" ht="12.75" customHeight="1" x14ac:dyDescent="0.35">
      <c r="A626" s="28"/>
      <c r="B626" s="28" t="s">
        <v>3147</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3148</v>
      </c>
      <c r="C630" s="28"/>
      <c r="D630" s="28"/>
    </row>
    <row r="631" spans="1:4" ht="12.75" customHeight="1" x14ac:dyDescent="0.35">
      <c r="A631" s="28"/>
      <c r="B631" s="28"/>
      <c r="C631" s="28"/>
      <c r="D631" s="28"/>
    </row>
    <row r="632" spans="1:4" ht="12.75" customHeight="1" x14ac:dyDescent="0.35">
      <c r="A632" s="28"/>
      <c r="B632" s="28" t="s">
        <v>3044</v>
      </c>
      <c r="C632" s="28"/>
      <c r="D632" s="28"/>
    </row>
    <row r="633" spans="1:4" ht="12.75" customHeight="1" x14ac:dyDescent="0.35">
      <c r="A633" s="28"/>
      <c r="B633" s="28" t="s">
        <v>3149</v>
      </c>
      <c r="C633" s="28"/>
      <c r="D633" s="28"/>
    </row>
    <row r="634" spans="1:4" ht="12.75" customHeight="1" x14ac:dyDescent="0.35">
      <c r="A634" s="28"/>
      <c r="B634" s="28"/>
      <c r="C634" s="28" t="s">
        <v>3087</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3088</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3094</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3105</v>
      </c>
      <c r="D667" s="28"/>
    </row>
    <row r="668" spans="1:4" ht="12.75" customHeight="1" x14ac:dyDescent="0.35">
      <c r="A668" s="28"/>
      <c r="B668" s="28"/>
      <c r="C668" s="28"/>
      <c r="D668" s="28"/>
    </row>
    <row r="669" spans="1:4" ht="12.75" customHeight="1" x14ac:dyDescent="0.35">
      <c r="A669" s="28"/>
      <c r="B669" s="28"/>
      <c r="C669" s="28" t="s">
        <v>3150</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3149</v>
      </c>
      <c r="C673" s="28"/>
      <c r="D673" s="28"/>
    </row>
    <row r="674" spans="1:4" ht="12.75" customHeight="1" x14ac:dyDescent="0.35">
      <c r="A674" s="28"/>
      <c r="B674" s="28" t="s">
        <v>3043</v>
      </c>
      <c r="C674" s="28"/>
      <c r="D674" s="28"/>
    </row>
    <row r="675" spans="1:4" ht="12.75" customHeight="1" x14ac:dyDescent="0.35">
      <c r="A675" s="28"/>
      <c r="B675" s="28" t="s">
        <v>3151</v>
      </c>
      <c r="C675" s="28"/>
      <c r="D675" s="28"/>
    </row>
    <row r="676" spans="1:4" ht="12.75" customHeight="1" x14ac:dyDescent="0.35">
      <c r="A676" s="28"/>
      <c r="B676" s="28" t="s">
        <v>3152</v>
      </c>
      <c r="C676" s="28"/>
      <c r="D676" s="28"/>
    </row>
    <row r="677" spans="1:4" ht="12.75" customHeight="1" x14ac:dyDescent="0.35">
      <c r="A677" s="28"/>
      <c r="B677" s="28"/>
      <c r="C677" s="28" t="s">
        <v>3153</v>
      </c>
      <c r="D677" s="28"/>
    </row>
    <row r="678" spans="1:4" ht="12.75" customHeight="1" x14ac:dyDescent="0.35">
      <c r="A678" s="28"/>
      <c r="B678" s="28"/>
      <c r="C678" s="28"/>
      <c r="D678" s="28"/>
    </row>
    <row r="679" spans="1:4" ht="12.75" customHeight="1" x14ac:dyDescent="0.35">
      <c r="A679" s="28"/>
      <c r="B679" s="28"/>
      <c r="C679" s="28" t="s">
        <v>3154</v>
      </c>
      <c r="D679" s="28"/>
    </row>
    <row r="680" spans="1:4" ht="12.75" customHeight="1" x14ac:dyDescent="0.35">
      <c r="A680" s="28"/>
      <c r="B680" s="28" t="str">
        <f>"Fritt kassaflöde "&amp;IF(FCFEinUse&lt;&gt;1,"(FCF)"," till företag (FCFF)")</f>
        <v>Fritt kassaflöde (FCF)</v>
      </c>
      <c r="C680" s="28"/>
      <c r="D680" s="28"/>
    </row>
    <row r="681" spans="1:4" ht="12.75" customHeight="1" x14ac:dyDescent="0.35">
      <c r="A681" s="28"/>
      <c r="B681" s="28" t="str">
        <f>"Diskonterat fritt kassaflöde "&amp;IF(FCFEinUse&lt;&gt;1,"(DFCF)"," till företag (DFCFF)")</f>
        <v>Diskonterat fritt kassaflöde (DFCF)</v>
      </c>
      <c r="C681" s="28"/>
      <c r="D681" s="28"/>
    </row>
    <row r="682" spans="1:4" ht="12.75" customHeight="1" x14ac:dyDescent="0.35">
      <c r="A682" s="28"/>
      <c r="B682" s="28" t="str">
        <f>"Kumulativt diskonterat fritt kassaflöde"&amp;IF(FCFEinUse&lt;&gt;1,""," till företag")</f>
        <v>Kumulativt diskonterat fritt kassaflöde</v>
      </c>
      <c r="C682" s="28"/>
      <c r="D682" s="28"/>
    </row>
    <row r="683" spans="1:4" ht="12.75" customHeight="1" x14ac:dyDescent="0.35">
      <c r="A683" s="28"/>
      <c r="B683" s="28" t="s">
        <v>3155</v>
      </c>
      <c r="C683" s="28"/>
      <c r="D683" s="28"/>
    </row>
    <row r="684" spans="1:4" ht="12.75" customHeight="1" x14ac:dyDescent="0.35">
      <c r="A684" s="28"/>
      <c r="B684" s="28" t="s">
        <v>1036</v>
      </c>
      <c r="C684" s="28"/>
      <c r="D684" s="28"/>
    </row>
    <row r="685" spans="1:4" ht="12.75" customHeight="1" x14ac:dyDescent="0.35">
      <c r="A685" s="28"/>
      <c r="B685" s="28" t="s">
        <v>3156</v>
      </c>
      <c r="C685" s="28"/>
      <c r="D685" s="28"/>
    </row>
    <row r="686" spans="1:4" ht="12.75" customHeight="1" x14ac:dyDescent="0.35">
      <c r="A686" s="28"/>
      <c r="B686" s="28" t="s">
        <v>3157</v>
      </c>
      <c r="C686" s="28"/>
      <c r="D686" s="28"/>
    </row>
    <row r="687" spans="1:4" ht="12.75" customHeight="1" x14ac:dyDescent="0.35">
      <c r="A687" s="28"/>
      <c r="B687" s="28"/>
      <c r="C687" s="28" t="s">
        <v>3102</v>
      </c>
      <c r="D687" s="28"/>
    </row>
    <row r="688" spans="1:4" ht="12.75" customHeight="1" x14ac:dyDescent="0.35">
      <c r="A688" s="28"/>
      <c r="B688" s="28"/>
      <c r="C688" s="28" t="s">
        <v>3158</v>
      </c>
      <c r="D688" s="28"/>
    </row>
    <row r="689" spans="1:4" ht="12.75" customHeight="1" x14ac:dyDescent="0.35">
      <c r="A689" s="28"/>
      <c r="B689" s="28"/>
      <c r="C689" s="28" t="s">
        <v>3159</v>
      </c>
      <c r="D689" s="28"/>
    </row>
    <row r="690" spans="1:4" ht="12.75" customHeight="1" x14ac:dyDescent="0.35">
      <c r="A690" s="28"/>
      <c r="B690" s="28"/>
      <c r="C690" s="28" t="s">
        <v>3160</v>
      </c>
      <c r="D690" s="28"/>
    </row>
    <row r="691" spans="1:4" ht="12.75" customHeight="1" x14ac:dyDescent="0.35">
      <c r="A691" s="28"/>
      <c r="B691" s="28"/>
      <c r="C691" s="28" t="str">
        <f>C689</f>
        <v>Främmande kapital, ökning (+) / amort. (-)</v>
      </c>
      <c r="D691" s="28"/>
    </row>
    <row r="692" spans="1:4" ht="12.75" customHeight="1" x14ac:dyDescent="0.35">
      <c r="A692" s="28"/>
      <c r="B692" s="28"/>
      <c r="C692" s="28" t="s">
        <v>3161</v>
      </c>
      <c r="D692" s="28"/>
    </row>
    <row r="693" spans="1:4" ht="12.75" customHeight="1" x14ac:dyDescent="0.35">
      <c r="A693" s="28"/>
      <c r="B693" s="28"/>
      <c r="C693" s="28" t="s">
        <v>3162</v>
      </c>
      <c r="D693" s="28"/>
    </row>
    <row r="694" spans="1:4" ht="12.75" customHeight="1" x14ac:dyDescent="0.35">
      <c r="A694" s="28"/>
      <c r="B694" s="28"/>
      <c r="C694" s="1250" t="s">
        <v>5655</v>
      </c>
      <c r="D694" s="28"/>
    </row>
    <row r="695" spans="1:4" ht="12.75" customHeight="1" x14ac:dyDescent="0.35">
      <c r="A695" s="28"/>
      <c r="B695" s="28"/>
      <c r="C695" s="28" t="s">
        <v>3163</v>
      </c>
      <c r="D695" s="28"/>
    </row>
    <row r="696" spans="1:4" ht="12.75" customHeight="1" x14ac:dyDescent="0.35">
      <c r="A696" s="28"/>
      <c r="B696" s="28"/>
      <c r="C696" s="28" t="s">
        <v>3164</v>
      </c>
      <c r="D696" s="28"/>
    </row>
    <row r="697" spans="1:4" ht="12.75" customHeight="1" x14ac:dyDescent="0.35">
      <c r="A697" s="28"/>
      <c r="B697" s="28" t="s">
        <v>3165</v>
      </c>
      <c r="D697" s="28"/>
    </row>
    <row r="698" spans="1:4" ht="12.75" customHeight="1" x14ac:dyDescent="0.35">
      <c r="A698" s="28"/>
      <c r="B698" s="28" t="s">
        <v>3166</v>
      </c>
      <c r="D698" s="28"/>
    </row>
    <row r="699" spans="1:4" ht="12.75" customHeight="1" x14ac:dyDescent="0.35">
      <c r="A699" s="28"/>
      <c r="B699" s="28" t="s">
        <v>3167</v>
      </c>
      <c r="D699" s="28"/>
    </row>
    <row r="700" spans="1:4" ht="12.75" customHeight="1" x14ac:dyDescent="0.35">
      <c r="A700" s="28"/>
      <c r="B700" s="28" t="s">
        <v>3168</v>
      </c>
      <c r="D700" s="28"/>
    </row>
    <row r="701" spans="1:4" ht="12.75" customHeight="1" x14ac:dyDescent="0.35">
      <c r="A701" s="28"/>
      <c r="B701" s="28"/>
      <c r="C701" s="28" t="s">
        <v>3169</v>
      </c>
      <c r="D701" s="28"/>
    </row>
    <row r="702" spans="1:4" ht="12.75" customHeight="1" x14ac:dyDescent="0.35">
      <c r="A702" s="28"/>
      <c r="B702" s="28"/>
      <c r="C702" s="28" t="s">
        <v>3170</v>
      </c>
      <c r="D702" s="28"/>
    </row>
    <row r="703" spans="1:4" ht="12.75" customHeight="1" x14ac:dyDescent="0.35">
      <c r="A703" s="28"/>
      <c r="B703" s="28"/>
      <c r="C703" s="28" t="s">
        <v>3171</v>
      </c>
      <c r="D703" s="28"/>
    </row>
    <row r="704" spans="1:4" ht="12.75" customHeight="1" x14ac:dyDescent="0.35">
      <c r="A704" s="28"/>
      <c r="B704" s="28"/>
      <c r="C704" s="28" t="s">
        <v>3172</v>
      </c>
      <c r="D704" s="28"/>
    </row>
    <row r="705" spans="1:4" ht="12.75" customHeight="1" x14ac:dyDescent="0.35">
      <c r="A705" s="28"/>
      <c r="B705" s="28"/>
      <c r="C705" s="28" t="s">
        <v>3173</v>
      </c>
      <c r="D705" s="28"/>
    </row>
    <row r="706" spans="1:4" ht="12.75" customHeight="1" x14ac:dyDescent="0.35">
      <c r="A706" s="28"/>
      <c r="B706" s="28"/>
      <c r="C706" s="105" t="s">
        <v>3174</v>
      </c>
      <c r="D706" s="28"/>
    </row>
    <row r="707" spans="1:4" ht="12.75" customHeight="1" x14ac:dyDescent="0.35">
      <c r="A707" s="28"/>
      <c r="B707" s="28" t="s">
        <v>3175</v>
      </c>
      <c r="C707" s="28"/>
      <c r="D707" s="28"/>
    </row>
    <row r="708" spans="1:4" ht="12.75" customHeight="1" x14ac:dyDescent="0.35">
      <c r="A708" s="28"/>
      <c r="B708" s="28" t="s">
        <v>3176</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3177</v>
      </c>
      <c r="C712" s="28"/>
      <c r="D712" s="28"/>
    </row>
    <row r="713" spans="1:4" ht="12.75" customHeight="1" x14ac:dyDescent="0.35">
      <c r="A713" s="28"/>
      <c r="B713" s="28"/>
      <c r="C713" s="28"/>
      <c r="D713" s="28"/>
    </row>
    <row r="714" spans="1:4" ht="12.75" customHeight="1" x14ac:dyDescent="0.35">
      <c r="A714" s="28"/>
      <c r="B714" s="28" t="s">
        <v>3044</v>
      </c>
      <c r="C714" s="28"/>
      <c r="D714" s="28"/>
    </row>
    <row r="715" spans="1:4" ht="12.75" customHeight="1" x14ac:dyDescent="0.35">
      <c r="A715" s="28"/>
      <c r="B715" s="28" t="s">
        <v>3178</v>
      </c>
      <c r="C715" s="28"/>
      <c r="D715" s="28" t="s">
        <v>3179</v>
      </c>
    </row>
    <row r="716" spans="1:4" ht="12.75" customHeight="1" x14ac:dyDescent="0.35">
      <c r="A716" s="28"/>
      <c r="B716" s="28" t="s">
        <v>3180</v>
      </c>
      <c r="C716" s="28"/>
      <c r="D716" s="28"/>
    </row>
    <row r="717" spans="1:4" ht="12.75" customHeight="1" x14ac:dyDescent="0.35">
      <c r="A717" s="28"/>
      <c r="B717" s="28"/>
      <c r="C717" s="28" t="s">
        <v>3181</v>
      </c>
      <c r="D717" s="28"/>
    </row>
    <row r="718" spans="1:4" ht="12.75" customHeight="1" x14ac:dyDescent="0.35">
      <c r="A718" s="28"/>
      <c r="B718" s="28"/>
      <c r="C718" s="28" t="s">
        <v>3182</v>
      </c>
      <c r="D718" s="28"/>
    </row>
    <row r="719" spans="1:4" ht="12.75" customHeight="1" x14ac:dyDescent="0.35">
      <c r="A719" s="28"/>
      <c r="B719" s="28"/>
      <c r="C719" s="28" t="s">
        <v>3183</v>
      </c>
      <c r="D719" s="28"/>
    </row>
    <row r="720" spans="1:4" ht="12.75" customHeight="1" x14ac:dyDescent="0.35">
      <c r="A720" s="28"/>
      <c r="B720" s="28"/>
      <c r="C720" s="28" t="s">
        <v>3182</v>
      </c>
      <c r="D720" s="28"/>
    </row>
    <row r="721" spans="1:4" ht="12.75" customHeight="1" x14ac:dyDescent="0.35">
      <c r="A721" s="28"/>
      <c r="B721" s="28"/>
      <c r="C721" s="103" t="s">
        <v>3184</v>
      </c>
      <c r="D721" s="28"/>
    </row>
    <row r="722" spans="1:4" ht="12.75" customHeight="1" x14ac:dyDescent="0.35">
      <c r="A722" s="28"/>
      <c r="B722" s="28"/>
      <c r="C722" s="28" t="s">
        <v>3185</v>
      </c>
      <c r="D722" s="28"/>
    </row>
    <row r="723" spans="1:4" ht="12.75" customHeight="1" x14ac:dyDescent="0.35">
      <c r="A723" s="28"/>
      <c r="B723" s="28"/>
      <c r="C723" s="28" t="s">
        <v>3186</v>
      </c>
      <c r="D723" s="28"/>
    </row>
    <row r="724" spans="1:4" ht="12.75" customHeight="1" x14ac:dyDescent="0.35">
      <c r="A724" s="28"/>
      <c r="B724" s="28"/>
      <c r="C724" s="28" t="s">
        <v>3185</v>
      </c>
      <c r="D724" s="28"/>
    </row>
    <row r="725" spans="1:4" ht="12.75" customHeight="1" x14ac:dyDescent="0.35">
      <c r="A725" s="28"/>
      <c r="B725" s="28"/>
      <c r="C725" s="103" t="s">
        <v>3184</v>
      </c>
      <c r="D725" s="28"/>
    </row>
    <row r="726" spans="1:4" ht="12.75" customHeight="1" x14ac:dyDescent="0.35">
      <c r="A726" s="28"/>
      <c r="B726" s="28"/>
      <c r="C726" s="103" t="s">
        <v>781</v>
      </c>
      <c r="D726" s="28"/>
    </row>
    <row r="727" spans="1:4" ht="12.75" customHeight="1" x14ac:dyDescent="0.35">
      <c r="A727" s="28"/>
      <c r="B727" s="28"/>
      <c r="C727" s="103" t="s">
        <v>3187</v>
      </c>
      <c r="D727" s="28"/>
    </row>
    <row r="728" spans="1:4" ht="12.75" customHeight="1" x14ac:dyDescent="0.35">
      <c r="A728" s="28"/>
      <c r="B728" s="28"/>
      <c r="C728" s="103" t="s">
        <v>781</v>
      </c>
      <c r="D728" s="28"/>
    </row>
    <row r="729" spans="1:4" ht="12.75" customHeight="1" x14ac:dyDescent="0.35">
      <c r="A729" s="28"/>
      <c r="B729" s="28"/>
      <c r="C729" s="103" t="s">
        <v>3184</v>
      </c>
      <c r="D729" s="28"/>
    </row>
    <row r="730" spans="1:4" ht="12.75" customHeight="1" x14ac:dyDescent="0.35">
      <c r="A730" s="28"/>
      <c r="B730" s="28"/>
      <c r="C730" s="28" t="s">
        <v>3188</v>
      </c>
      <c r="D730" s="28"/>
    </row>
    <row r="731" spans="1:4" ht="12.75" customHeight="1" x14ac:dyDescent="0.35">
      <c r="A731" s="28"/>
      <c r="B731" s="28"/>
      <c r="C731" s="28" t="s">
        <v>3189</v>
      </c>
      <c r="D731" s="28"/>
    </row>
    <row r="732" spans="1:4" ht="12.75" customHeight="1" x14ac:dyDescent="0.35">
      <c r="A732" s="28"/>
      <c r="B732" s="28"/>
      <c r="C732" s="28" t="s">
        <v>3188</v>
      </c>
      <c r="D732" s="28"/>
    </row>
    <row r="733" spans="1:4" ht="12.75" customHeight="1" x14ac:dyDescent="0.35">
      <c r="A733" s="28"/>
      <c r="B733" s="28"/>
      <c r="C733" s="103" t="s">
        <v>3184</v>
      </c>
      <c r="D733" s="28"/>
    </row>
    <row r="734" spans="1:4" ht="12.75" customHeight="1" x14ac:dyDescent="0.35">
      <c r="A734" s="28"/>
      <c r="B734" s="28"/>
      <c r="C734" s="28" t="s">
        <v>3190</v>
      </c>
      <c r="D734" s="28"/>
    </row>
    <row r="735" spans="1:4" ht="12.75" customHeight="1" x14ac:dyDescent="0.35">
      <c r="A735" s="28"/>
      <c r="B735" s="28"/>
      <c r="C735" s="28" t="s">
        <v>3191</v>
      </c>
      <c r="D735" s="28"/>
    </row>
    <row r="736" spans="1:4" ht="12.75" customHeight="1" x14ac:dyDescent="0.35">
      <c r="A736" s="28"/>
      <c r="B736" s="28"/>
      <c r="C736" s="28" t="s">
        <v>3192</v>
      </c>
      <c r="D736" s="28"/>
    </row>
    <row r="737" spans="1:4" ht="12.75" customHeight="1" x14ac:dyDescent="0.35">
      <c r="A737" s="28"/>
      <c r="B737" s="28"/>
      <c r="C737" s="28" t="s">
        <v>3191</v>
      </c>
      <c r="D737" s="28"/>
    </row>
    <row r="738" spans="1:4" ht="12.75" customHeight="1" x14ac:dyDescent="0.35">
      <c r="A738" s="28"/>
      <c r="B738" s="28"/>
      <c r="C738" s="103" t="s">
        <v>3184</v>
      </c>
      <c r="D738" s="28"/>
    </row>
    <row r="739" spans="1:4" ht="12.75" customHeight="1" x14ac:dyDescent="0.35">
      <c r="A739" s="28"/>
      <c r="B739" s="28"/>
      <c r="C739" s="28" t="s">
        <v>3193</v>
      </c>
      <c r="D739" s="28"/>
    </row>
    <row r="740" spans="1:4" ht="12.75" customHeight="1" x14ac:dyDescent="0.35">
      <c r="A740" s="28"/>
      <c r="B740" s="28"/>
      <c r="C740" s="28" t="s">
        <v>3194</v>
      </c>
      <c r="D740" s="28"/>
    </row>
    <row r="741" spans="1:4" ht="12.75" customHeight="1" x14ac:dyDescent="0.35">
      <c r="A741" s="28"/>
      <c r="B741" s="28"/>
      <c r="C741" s="28" t="s">
        <v>3193</v>
      </c>
      <c r="D741" s="28"/>
    </row>
    <row r="742" spans="1:4" ht="12.75" customHeight="1" x14ac:dyDescent="0.35">
      <c r="A742" s="28"/>
      <c r="B742" s="28"/>
      <c r="C742" s="103" t="s">
        <v>3184</v>
      </c>
      <c r="D742" s="28"/>
    </row>
    <row r="743" spans="1:4" ht="12.75" customHeight="1" x14ac:dyDescent="0.35">
      <c r="A743" s="28"/>
      <c r="B743" s="28"/>
      <c r="C743" s="28" t="s">
        <v>3195</v>
      </c>
      <c r="D743" s="28"/>
    </row>
    <row r="744" spans="1:4" ht="12.75" customHeight="1" x14ac:dyDescent="0.35">
      <c r="A744" s="28"/>
      <c r="B744" s="28"/>
      <c r="C744" s="28" t="s">
        <v>3196</v>
      </c>
      <c r="D744" s="28"/>
    </row>
    <row r="745" spans="1:4" ht="12.75" customHeight="1" x14ac:dyDescent="0.35">
      <c r="A745" s="28"/>
      <c r="B745" s="28"/>
      <c r="C745" s="28" t="s">
        <v>3195</v>
      </c>
      <c r="D745" s="28"/>
    </row>
    <row r="746" spans="1:4" ht="12.75" customHeight="1" x14ac:dyDescent="0.35">
      <c r="A746" s="28"/>
      <c r="B746" s="28"/>
      <c r="C746" s="103" t="s">
        <v>3184</v>
      </c>
      <c r="D746" s="28"/>
    </row>
    <row r="747" spans="1:4" ht="12.75" customHeight="1" x14ac:dyDescent="0.35">
      <c r="A747" s="28"/>
      <c r="B747" s="28"/>
      <c r="C747" s="105" t="s">
        <v>3197</v>
      </c>
      <c r="D747" s="28"/>
    </row>
    <row r="748" spans="1:4" ht="12.75" customHeight="1" x14ac:dyDescent="0.35">
      <c r="A748" s="28"/>
      <c r="B748" s="28"/>
      <c r="C748" s="105" t="s">
        <v>3198</v>
      </c>
      <c r="D748" s="28"/>
    </row>
    <row r="749" spans="1:4" ht="12.75" customHeight="1" x14ac:dyDescent="0.35">
      <c r="A749" s="28"/>
      <c r="B749" s="28"/>
      <c r="C749" s="105" t="s">
        <v>3197</v>
      </c>
      <c r="D749" s="28"/>
    </row>
    <row r="750" spans="1:4" ht="12.75" customHeight="1" x14ac:dyDescent="0.35">
      <c r="A750" s="28"/>
      <c r="B750" s="28"/>
      <c r="C750" s="106" t="s">
        <v>3184</v>
      </c>
      <c r="D750" s="28"/>
    </row>
    <row r="751" spans="1:4" ht="12.75" customHeight="1" x14ac:dyDescent="0.35">
      <c r="A751" s="28"/>
      <c r="B751" s="28"/>
      <c r="C751" s="28" t="s">
        <v>3199</v>
      </c>
      <c r="D751" s="28"/>
    </row>
    <row r="752" spans="1:4" ht="12.75" customHeight="1" x14ac:dyDescent="0.35">
      <c r="A752" s="28"/>
      <c r="B752" s="28"/>
      <c r="C752" s="28" t="s">
        <v>3200</v>
      </c>
      <c r="D752" s="28"/>
    </row>
    <row r="753" spans="1:4" ht="12.75" customHeight="1" x14ac:dyDescent="0.35">
      <c r="A753" s="28"/>
      <c r="B753" s="28"/>
      <c r="C753" s="28" t="s">
        <v>3199</v>
      </c>
      <c r="D753" s="28"/>
    </row>
    <row r="754" spans="1:4" ht="12.75" customHeight="1" x14ac:dyDescent="0.35">
      <c r="A754" s="28"/>
      <c r="B754" s="28"/>
      <c r="C754" s="103" t="s">
        <v>3184</v>
      </c>
      <c r="D754" s="28"/>
    </row>
    <row r="755" spans="1:4" ht="12.75" customHeight="1" x14ac:dyDescent="0.35">
      <c r="A755" s="28"/>
      <c r="B755" s="28"/>
      <c r="C755" s="28" t="s">
        <v>3201</v>
      </c>
      <c r="D755" s="28"/>
    </row>
    <row r="756" spans="1:4" ht="12.75" customHeight="1" x14ac:dyDescent="0.35">
      <c r="A756" s="28"/>
      <c r="B756" s="28"/>
      <c r="C756" s="28" t="s">
        <v>3202</v>
      </c>
      <c r="D756" s="28"/>
    </row>
    <row r="757" spans="1:4" ht="12.75" customHeight="1" x14ac:dyDescent="0.35">
      <c r="A757" s="28"/>
      <c r="B757" s="28"/>
      <c r="C757" s="28" t="s">
        <v>3203</v>
      </c>
      <c r="D757" s="28"/>
    </row>
    <row r="758" spans="1:4" ht="12.75" customHeight="1" x14ac:dyDescent="0.35">
      <c r="A758" s="28"/>
      <c r="B758" s="28"/>
      <c r="C758" s="28" t="s">
        <v>3202</v>
      </c>
      <c r="D758" s="28"/>
    </row>
    <row r="759" spans="1:4" ht="12.75" customHeight="1" x14ac:dyDescent="0.35">
      <c r="A759" s="28"/>
      <c r="B759" s="28"/>
      <c r="C759" s="103" t="s">
        <v>3184</v>
      </c>
      <c r="D759" s="28"/>
    </row>
    <row r="760" spans="1:4" ht="12.75" customHeight="1" x14ac:dyDescent="0.35">
      <c r="A760" s="28"/>
      <c r="B760" s="28"/>
      <c r="C760" s="28" t="s">
        <v>3204</v>
      </c>
      <c r="D760" s="28"/>
    </row>
    <row r="761" spans="1:4" ht="12.75" customHeight="1" x14ac:dyDescent="0.35">
      <c r="A761" s="28"/>
      <c r="B761" s="28"/>
      <c r="C761" s="28" t="s">
        <v>3205</v>
      </c>
      <c r="D761" s="28"/>
    </row>
    <row r="762" spans="1:4" ht="12.75" customHeight="1" x14ac:dyDescent="0.35">
      <c r="A762" s="28"/>
      <c r="B762" s="28"/>
      <c r="C762" s="28" t="s">
        <v>3204</v>
      </c>
      <c r="D762" s="28"/>
    </row>
    <row r="763" spans="1:4" ht="12.75" customHeight="1" x14ac:dyDescent="0.35">
      <c r="A763" s="28"/>
      <c r="B763" s="28"/>
      <c r="C763" s="103" t="s">
        <v>3184</v>
      </c>
      <c r="D763" s="28"/>
    </row>
    <row r="764" spans="1:4" ht="12.75" customHeight="1" x14ac:dyDescent="0.35">
      <c r="A764" s="28"/>
      <c r="B764" s="28"/>
      <c r="C764" s="28" t="s">
        <v>3206</v>
      </c>
      <c r="D764" s="28"/>
    </row>
    <row r="765" spans="1:4" ht="12.75" customHeight="1" x14ac:dyDescent="0.35">
      <c r="A765" s="28"/>
      <c r="B765" s="28"/>
      <c r="C765" s="28" t="s">
        <v>3207</v>
      </c>
      <c r="D765" s="28"/>
    </row>
    <row r="766" spans="1:4" ht="12.75" customHeight="1" x14ac:dyDescent="0.35">
      <c r="A766" s="28"/>
      <c r="B766" s="28"/>
      <c r="C766" s="28" t="s">
        <v>3206</v>
      </c>
      <c r="D766" s="28"/>
    </row>
    <row r="767" spans="1:4" ht="12.75" customHeight="1" x14ac:dyDescent="0.35">
      <c r="A767" s="28"/>
      <c r="B767" s="28"/>
      <c r="C767" s="103" t="s">
        <v>3184</v>
      </c>
      <c r="D767" s="28"/>
    </row>
    <row r="768" spans="1:4" ht="12.75" customHeight="1" x14ac:dyDescent="0.35">
      <c r="A768" s="28"/>
      <c r="B768" s="28"/>
      <c r="C768" s="28" t="s">
        <v>3208</v>
      </c>
      <c r="D768" s="28"/>
    </row>
    <row r="769" spans="1:4" ht="12.75" customHeight="1" x14ac:dyDescent="0.35">
      <c r="A769" s="28"/>
      <c r="B769" s="28"/>
      <c r="C769" s="28" t="s">
        <v>3209</v>
      </c>
      <c r="D769" s="28"/>
    </row>
    <row r="770" spans="1:4" ht="12.75" customHeight="1" x14ac:dyDescent="0.35">
      <c r="A770" s="28"/>
      <c r="B770" s="28"/>
      <c r="C770" s="28" t="s">
        <v>3208</v>
      </c>
      <c r="D770" s="28"/>
    </row>
    <row r="771" spans="1:4" ht="12.75" customHeight="1" x14ac:dyDescent="0.35">
      <c r="A771" s="28"/>
      <c r="B771" s="28"/>
      <c r="C771" s="103" t="s">
        <v>3184</v>
      </c>
      <c r="D771" s="28"/>
    </row>
    <row r="772" spans="1:4" ht="12.75" customHeight="1" x14ac:dyDescent="0.35">
      <c r="A772" s="28"/>
      <c r="B772" s="28"/>
      <c r="C772" s="28" t="s">
        <v>3210</v>
      </c>
      <c r="D772" s="28"/>
    </row>
    <row r="773" spans="1:4" ht="12.75" customHeight="1" x14ac:dyDescent="0.35">
      <c r="A773" s="28"/>
      <c r="B773" s="28" t="s">
        <v>3211</v>
      </c>
      <c r="C773" s="28"/>
      <c r="D773" s="28"/>
    </row>
    <row r="774" spans="1:4" ht="12.75" customHeight="1" x14ac:dyDescent="0.35">
      <c r="A774" s="28"/>
      <c r="B774" s="28"/>
      <c r="C774" s="28" t="s">
        <v>3212</v>
      </c>
      <c r="D774" s="28"/>
    </row>
    <row r="775" spans="1:4" ht="12.75" customHeight="1" x14ac:dyDescent="0.35">
      <c r="A775" s="28"/>
      <c r="B775" s="28"/>
      <c r="C775" s="28" t="s">
        <v>5518</v>
      </c>
      <c r="D775" s="28"/>
    </row>
    <row r="776" spans="1:4" ht="12.75" customHeight="1" x14ac:dyDescent="0.35">
      <c r="A776" s="28"/>
      <c r="B776" s="28"/>
      <c r="C776" s="1250" t="s">
        <v>5616</v>
      </c>
      <c r="D776" s="28"/>
    </row>
    <row r="777" spans="1:4" ht="12.75" customHeight="1" x14ac:dyDescent="0.35">
      <c r="A777" s="28"/>
      <c r="B777" s="28"/>
      <c r="C777" s="28" t="s">
        <v>3135</v>
      </c>
      <c r="D777" s="28"/>
    </row>
    <row r="778" spans="1:4" ht="12.75" customHeight="1" x14ac:dyDescent="0.35">
      <c r="A778" s="28"/>
      <c r="B778" s="28"/>
      <c r="C778" s="1250" t="s">
        <v>5624</v>
      </c>
      <c r="D778" s="28"/>
    </row>
    <row r="779" spans="1:4" ht="12.75" customHeight="1" x14ac:dyDescent="0.35">
      <c r="A779" s="28"/>
      <c r="B779" s="28"/>
      <c r="C779" s="28" t="s">
        <v>3213</v>
      </c>
      <c r="D779" s="28"/>
    </row>
    <row r="780" spans="1:4" ht="12.75" customHeight="1" x14ac:dyDescent="0.35">
      <c r="A780" s="28"/>
      <c r="B780" s="28"/>
      <c r="C780" s="28" t="s">
        <v>3214</v>
      </c>
      <c r="D780" s="28"/>
    </row>
    <row r="781" spans="1:4" ht="12.75" customHeight="1" x14ac:dyDescent="0.35">
      <c r="A781" s="28"/>
      <c r="B781" s="28" t="s">
        <v>3178</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3079</v>
      </c>
      <c r="C794" s="28"/>
      <c r="D794" s="28"/>
    </row>
    <row r="795" spans="1:4" ht="12.75" customHeight="1" x14ac:dyDescent="0.35">
      <c r="A795" s="28"/>
      <c r="B795" s="28" t="s">
        <v>3215</v>
      </c>
      <c r="C795" s="28"/>
      <c r="D795" s="28"/>
    </row>
    <row r="796" spans="1:4" ht="12.75" customHeight="1" x14ac:dyDescent="0.35">
      <c r="A796" s="28"/>
      <c r="B796" s="28" t="s">
        <v>3216</v>
      </c>
      <c r="C796" s="28"/>
      <c r="D796" s="28"/>
    </row>
    <row r="797" spans="1:4" ht="12.75" customHeight="1" x14ac:dyDescent="0.35">
      <c r="A797" s="28"/>
      <c r="B797" s="28"/>
      <c r="C797" s="28"/>
      <c r="D797" s="28"/>
    </row>
    <row r="798" spans="1:4" ht="12.75" customHeight="1" x14ac:dyDescent="0.35">
      <c r="A798" s="28"/>
      <c r="B798" s="28" t="s">
        <v>3217</v>
      </c>
      <c r="C798" s="28"/>
      <c r="D798" s="28"/>
    </row>
    <row r="799" spans="1:4" ht="12.75" customHeight="1" x14ac:dyDescent="0.35">
      <c r="A799" s="28"/>
      <c r="B799" s="28" t="s">
        <v>3218</v>
      </c>
      <c r="C799" s="28"/>
      <c r="D799" s="28"/>
    </row>
    <row r="800" spans="1:4" ht="12.75" customHeight="1" x14ac:dyDescent="0.35">
      <c r="A800" s="28"/>
      <c r="B800" s="28"/>
      <c r="C800" s="28" t="s">
        <v>3065</v>
      </c>
      <c r="D800" s="28"/>
    </row>
    <row r="801" spans="1:4" ht="12.75" customHeight="1" x14ac:dyDescent="0.35">
      <c r="A801" s="28"/>
      <c r="B801" s="28"/>
      <c r="C801" s="28" t="s">
        <v>3066</v>
      </c>
      <c r="D801" s="28"/>
    </row>
    <row r="802" spans="1:4" ht="12.75" customHeight="1" x14ac:dyDescent="0.35">
      <c r="A802" s="28"/>
      <c r="B802" s="28"/>
      <c r="C802" s="28" t="s">
        <v>3067</v>
      </c>
      <c r="D802" s="28"/>
    </row>
    <row r="803" spans="1:4" ht="12.75" customHeight="1" x14ac:dyDescent="0.35">
      <c r="A803" s="28"/>
      <c r="B803" s="28"/>
      <c r="C803" s="28" t="s">
        <v>3068</v>
      </c>
      <c r="D803" s="28"/>
    </row>
    <row r="804" spans="1:4" ht="12.75" customHeight="1" x14ac:dyDescent="0.35">
      <c r="A804" s="28"/>
      <c r="B804" s="28"/>
      <c r="C804" s="28" t="s">
        <v>3069</v>
      </c>
      <c r="D804" s="28"/>
    </row>
    <row r="805" spans="1:4" ht="12.75" customHeight="1" x14ac:dyDescent="0.35">
      <c r="A805" s="28"/>
      <c r="B805" s="28"/>
      <c r="C805" s="28" t="s">
        <v>3219</v>
      </c>
      <c r="D805" s="28"/>
    </row>
    <row r="806" spans="1:4" ht="12.75" customHeight="1" x14ac:dyDescent="0.35">
      <c r="A806" s="28"/>
      <c r="B806" s="105" t="s">
        <v>3220</v>
      </c>
      <c r="C806" s="28"/>
      <c r="D806" s="28"/>
    </row>
    <row r="807" spans="1:4" ht="12.75" customHeight="1" x14ac:dyDescent="0.35">
      <c r="A807" s="28"/>
      <c r="B807" s="101" t="s">
        <v>3221</v>
      </c>
      <c r="C807" s="28"/>
      <c r="D807" s="28"/>
    </row>
    <row r="808" spans="1:4" ht="12.75" customHeight="1" x14ac:dyDescent="0.35">
      <c r="A808" s="28"/>
      <c r="B808" s="28" t="s">
        <v>3126</v>
      </c>
      <c r="C808" s="28"/>
    </row>
    <row r="809" spans="1:4" ht="12.75" customHeight="1" x14ac:dyDescent="0.35">
      <c r="A809" s="28"/>
      <c r="B809" s="28" t="s">
        <v>3222</v>
      </c>
      <c r="C809" s="28"/>
    </row>
    <row r="810" spans="1:4" ht="12.75" customHeight="1" x14ac:dyDescent="0.35">
      <c r="A810" s="28"/>
      <c r="B810" s="28"/>
      <c r="C810" s="28" t="s">
        <v>3223</v>
      </c>
      <c r="D810" s="28"/>
    </row>
    <row r="811" spans="1:4" ht="12.75" customHeight="1" x14ac:dyDescent="0.35">
      <c r="A811" s="28"/>
      <c r="B811" s="28"/>
      <c r="C811" s="28" t="s">
        <v>3083</v>
      </c>
      <c r="D811" s="28"/>
    </row>
    <row r="812" spans="1:4" ht="12.75" customHeight="1" x14ac:dyDescent="0.35">
      <c r="A812" s="28"/>
      <c r="B812" s="28"/>
      <c r="C812" s="1250" t="s">
        <v>5662</v>
      </c>
      <c r="D812" s="28"/>
    </row>
    <row r="813" spans="1:4" ht="12.75" customHeight="1" x14ac:dyDescent="0.35">
      <c r="A813" s="28"/>
      <c r="B813" s="28"/>
      <c r="C813" s="28" t="s">
        <v>3224</v>
      </c>
      <c r="D813" s="28"/>
    </row>
    <row r="814" spans="1:4" ht="12.75" customHeight="1" x14ac:dyDescent="0.35">
      <c r="A814" s="28"/>
      <c r="B814" s="28"/>
      <c r="C814" s="101" t="s">
        <v>3225</v>
      </c>
      <c r="D814" s="28"/>
    </row>
    <row r="815" spans="1:4" ht="12.75" customHeight="1" x14ac:dyDescent="0.35">
      <c r="A815" s="28"/>
      <c r="B815" s="28"/>
      <c r="C815" s="28" t="s">
        <v>3043</v>
      </c>
      <c r="D815" s="28"/>
    </row>
    <row r="816" spans="1:4" ht="12.75" customHeight="1" x14ac:dyDescent="0.35">
      <c r="A816" s="28"/>
      <c r="B816" s="28"/>
      <c r="C816" s="28" t="s">
        <v>3226</v>
      </c>
      <c r="D816" s="28"/>
    </row>
    <row r="817" spans="1:4" ht="12.75" customHeight="1" x14ac:dyDescent="0.35">
      <c r="A817" s="28"/>
      <c r="B817" s="28"/>
      <c r="C817" s="28" t="s">
        <v>3227</v>
      </c>
      <c r="D817" s="28"/>
    </row>
    <row r="818" spans="1:4" ht="12.75" customHeight="1" x14ac:dyDescent="0.35">
      <c r="A818" s="28"/>
      <c r="B818" s="28"/>
      <c r="C818" s="28" t="s">
        <v>3228</v>
      </c>
      <c r="D818" s="28"/>
    </row>
    <row r="819" spans="1:4" ht="12.75" customHeight="1" x14ac:dyDescent="0.35">
      <c r="A819" s="28"/>
      <c r="B819" s="28"/>
      <c r="C819" s="28" t="s">
        <v>3229</v>
      </c>
      <c r="D819" s="28"/>
    </row>
    <row r="820" spans="1:4" ht="12.75" customHeight="1" x14ac:dyDescent="0.35">
      <c r="A820" s="28"/>
      <c r="B820" s="28"/>
      <c r="C820" s="194" t="s">
        <v>5536</v>
      </c>
      <c r="D820" s="28"/>
    </row>
    <row r="821" spans="1:4" ht="12.75" customHeight="1" x14ac:dyDescent="0.35">
      <c r="A821" s="28"/>
      <c r="B821" s="28"/>
      <c r="C821" s="28" t="s">
        <v>3141</v>
      </c>
      <c r="D821" s="28"/>
    </row>
    <row r="822" spans="1:4" ht="12.75" customHeight="1" x14ac:dyDescent="0.35">
      <c r="A822" s="28"/>
      <c r="B822" s="28"/>
      <c r="C822" s="1250" t="s">
        <v>5636</v>
      </c>
      <c r="D822" s="28"/>
    </row>
    <row r="823" spans="1:4" ht="12.75" customHeight="1" x14ac:dyDescent="0.35">
      <c r="A823" s="28"/>
      <c r="B823" s="28"/>
      <c r="C823" s="28" t="s">
        <v>3230</v>
      </c>
      <c r="D823" s="28"/>
    </row>
    <row r="824" spans="1:4" ht="12.75" customHeight="1" x14ac:dyDescent="0.35">
      <c r="A824" s="28"/>
      <c r="B824" s="28"/>
      <c r="C824" s="1250" t="s">
        <v>5668</v>
      </c>
      <c r="D824" s="28"/>
    </row>
    <row r="825" spans="1:4" ht="12.75" customHeight="1" x14ac:dyDescent="0.35">
      <c r="A825" s="28"/>
      <c r="B825" s="28"/>
      <c r="C825" s="28" t="s">
        <v>3231</v>
      </c>
      <c r="D825" s="28"/>
    </row>
    <row r="826" spans="1:4" ht="12.75" customHeight="1" x14ac:dyDescent="0.35">
      <c r="A826" s="28"/>
      <c r="B826" s="28"/>
      <c r="C826" s="28" t="s">
        <v>3232</v>
      </c>
      <c r="D826" s="28"/>
    </row>
    <row r="827" spans="1:4" ht="12.75" customHeight="1" x14ac:dyDescent="0.35">
      <c r="A827" s="28"/>
      <c r="B827" s="28"/>
      <c r="C827" s="28" t="s">
        <v>3233</v>
      </c>
      <c r="D827" s="28"/>
    </row>
    <row r="828" spans="1:4" ht="12.75" customHeight="1" x14ac:dyDescent="0.35">
      <c r="A828" s="28"/>
      <c r="B828" s="28" t="s">
        <v>3217</v>
      </c>
      <c r="C828" s="28"/>
      <c r="D828" s="28"/>
    </row>
    <row r="829" spans="1:4" ht="12.75" customHeight="1" x14ac:dyDescent="0.35">
      <c r="A829" s="28"/>
      <c r="B829" s="28" t="s">
        <v>3234</v>
      </c>
      <c r="C829" s="28"/>
      <c r="D829" s="28"/>
    </row>
    <row r="830" spans="1:4" ht="12.75" customHeight="1" x14ac:dyDescent="0.35">
      <c r="A830" s="28"/>
      <c r="B830" s="28" t="s">
        <v>3080</v>
      </c>
      <c r="C830" s="28"/>
      <c r="D830" s="28"/>
    </row>
    <row r="831" spans="1:4" ht="12.75" customHeight="1" x14ac:dyDescent="0.35">
      <c r="A831" s="28"/>
      <c r="B831" s="28" t="s">
        <v>3126</v>
      </c>
      <c r="C831" s="28"/>
      <c r="D831" s="28"/>
    </row>
    <row r="832" spans="1:4" ht="12.75" customHeight="1" x14ac:dyDescent="0.35">
      <c r="A832" s="28"/>
      <c r="B832" s="28" t="s">
        <v>3235</v>
      </c>
      <c r="C832" s="28"/>
      <c r="D832" s="28"/>
    </row>
    <row r="833" spans="1:4" ht="12.75" customHeight="1" x14ac:dyDescent="0.35">
      <c r="A833" s="28"/>
      <c r="B833" s="28" t="s">
        <v>3083</v>
      </c>
      <c r="C833" s="28"/>
      <c r="D833" s="28"/>
    </row>
    <row r="834" spans="1:4" ht="12.75" customHeight="1" x14ac:dyDescent="0.35">
      <c r="A834" s="28"/>
      <c r="B834" s="28" t="s">
        <v>3227</v>
      </c>
      <c r="C834" s="28"/>
      <c r="D834" s="28"/>
    </row>
    <row r="835" spans="1:4" ht="12.75" customHeight="1" x14ac:dyDescent="0.35">
      <c r="A835" s="28"/>
      <c r="B835" s="28" t="s">
        <v>3236</v>
      </c>
      <c r="C835" s="28"/>
      <c r="D835" s="28"/>
    </row>
    <row r="836" spans="1:4" ht="12.75" customHeight="1" x14ac:dyDescent="0.35">
      <c r="A836" s="28"/>
      <c r="B836" s="28" t="s">
        <v>3237</v>
      </c>
      <c r="C836" s="28"/>
      <c r="D836" s="28"/>
    </row>
    <row r="837" spans="1:4" ht="12.75" customHeight="1" x14ac:dyDescent="0.35">
      <c r="A837" s="28"/>
      <c r="B837" s="28"/>
      <c r="C837" s="28"/>
      <c r="D837" s="28"/>
    </row>
    <row r="838" spans="1:4" ht="12.75" customHeight="1" x14ac:dyDescent="0.35">
      <c r="A838" s="28"/>
      <c r="B838" s="28" t="s">
        <v>3238</v>
      </c>
      <c r="C838" s="28"/>
      <c r="D838" s="28"/>
    </row>
    <row r="839" spans="1:4" ht="12.75" customHeight="1" x14ac:dyDescent="0.35">
      <c r="A839" s="28"/>
      <c r="B839" s="107" t="s">
        <v>3239</v>
      </c>
      <c r="C839" s="28"/>
      <c r="D839" s="28"/>
    </row>
    <row r="840" spans="1:4" ht="12.75" customHeight="1" x14ac:dyDescent="0.35">
      <c r="A840" s="28"/>
      <c r="B840" s="107" t="s">
        <v>3156</v>
      </c>
      <c r="C840" s="28"/>
      <c r="D840" s="28"/>
    </row>
    <row r="841" spans="1:4" ht="12.75" customHeight="1" x14ac:dyDescent="0.35">
      <c r="A841" s="28"/>
      <c r="B841" s="28" t="s">
        <v>3240</v>
      </c>
      <c r="C841" s="28"/>
      <c r="D841" s="28"/>
    </row>
    <row r="842" spans="1:4" ht="12.75" customHeight="1" x14ac:dyDescent="0.35"/>
    <row r="843" spans="1:4" ht="12.75" customHeight="1" x14ac:dyDescent="0.35"/>
    <row r="844" spans="1:4" ht="12.75" customHeight="1" x14ac:dyDescent="0.35"/>
    <row r="845" spans="1:4" ht="12.75" customHeight="1" x14ac:dyDescent="0.35">
      <c r="B845" s="97" t="s">
        <v>3241</v>
      </c>
    </row>
    <row r="846" spans="1:4" ht="12.75" customHeight="1" x14ac:dyDescent="0.35"/>
    <row r="847" spans="1:4" ht="12.75" customHeight="1" x14ac:dyDescent="0.35">
      <c r="B847" s="28" t="s">
        <v>3044</v>
      </c>
    </row>
  </sheetData>
  <printOptions gridLines="1"/>
  <pageMargins left="0.75" right="0.75" top="1" bottom="1" header="0.5" footer="0.5"/>
  <pageSetup paperSize="9" orientation="portrait" r:id="rId1"/>
  <headerFooter>
    <oddHeader>&amp;C&amp;A</oddHeader>
    <oddFooter>&amp;CPage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pageSetUpPr autoPageBreaks="0"/>
  </sheetPr>
  <dimension ref="A1:D847"/>
  <sheetViews>
    <sheetView topLeftCell="A438" workbookViewId="0">
      <selection activeCell="A456" sqref="A456"/>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1:4" ht="12.75" customHeight="1" x14ac:dyDescent="0.35">
      <c r="A1" s="28"/>
      <c r="B1" s="28" t="s">
        <v>2704</v>
      </c>
      <c r="C1" s="28"/>
      <c r="D1" s="28"/>
    </row>
    <row r="2" spans="1:4" ht="12.75" customHeight="1" x14ac:dyDescent="0.35">
      <c r="A2" s="28"/>
      <c r="B2" s="28" t="s">
        <v>3242</v>
      </c>
      <c r="C2" s="28"/>
      <c r="D2" s="28"/>
    </row>
    <row r="3" spans="1:4" ht="12.75" customHeight="1" x14ac:dyDescent="0.35">
      <c r="A3" s="28"/>
      <c r="B3" s="28" t="s">
        <v>2702</v>
      </c>
      <c r="C3" s="28"/>
      <c r="D3" s="28"/>
    </row>
    <row r="4" spans="1:4" ht="12.75" customHeight="1" x14ac:dyDescent="0.35">
      <c r="A4" s="28"/>
      <c r="B4" s="28" t="s">
        <v>3243</v>
      </c>
      <c r="C4" s="28"/>
      <c r="D4" s="28"/>
    </row>
    <row r="5" spans="1:4" ht="12.75" customHeight="1" x14ac:dyDescent="0.35">
      <c r="A5" s="28"/>
      <c r="B5" s="28" t="s">
        <v>3244</v>
      </c>
      <c r="C5" s="28"/>
      <c r="D5" s="28"/>
    </row>
    <row r="6" spans="1:4" ht="12.75" customHeight="1" x14ac:dyDescent="0.35">
      <c r="A6" s="28"/>
      <c r="B6" s="28" t="s">
        <v>3245</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3246</v>
      </c>
      <c r="C11" s="28"/>
      <c r="D11" s="28"/>
    </row>
    <row r="12" spans="1:4" ht="12.75" customHeight="1" x14ac:dyDescent="0.35">
      <c r="A12" s="28"/>
      <c r="B12" s="28" t="s">
        <v>3247</v>
      </c>
      <c r="C12" s="28"/>
      <c r="D12" s="28"/>
    </row>
    <row r="13" spans="1:4" ht="12.75" customHeight="1" x14ac:dyDescent="0.35">
      <c r="A13" s="28"/>
      <c r="B13" s="28" t="s">
        <v>5113</v>
      </c>
      <c r="C13" s="28"/>
      <c r="D13" s="28"/>
    </row>
    <row r="14" spans="1:4" ht="12.75" customHeight="1" x14ac:dyDescent="0.35">
      <c r="A14" s="28"/>
      <c r="B14" s="28"/>
      <c r="C14" s="28"/>
      <c r="D14" s="28"/>
    </row>
    <row r="15" spans="1:4" ht="12.75" customHeight="1" x14ac:dyDescent="0.35">
      <c r="A15" s="28"/>
      <c r="B15" s="28" t="s">
        <v>3248</v>
      </c>
      <c r="C15" s="28"/>
      <c r="D15" s="28"/>
    </row>
    <row r="16" spans="1:4" ht="12.75" customHeight="1" x14ac:dyDescent="0.35">
      <c r="A16" s="28"/>
      <c r="B16" s="28"/>
      <c r="C16" s="28"/>
      <c r="D16" s="28"/>
    </row>
    <row r="17" spans="1:4" ht="12.75" customHeight="1" x14ac:dyDescent="0.35">
      <c r="A17" s="28"/>
      <c r="B17" s="28" t="s">
        <v>3247</v>
      </c>
      <c r="C17" s="28"/>
      <c r="D17" s="28" t="s">
        <v>3250</v>
      </c>
    </row>
    <row r="18" spans="1:4" ht="12.75" customHeight="1" x14ac:dyDescent="0.35">
      <c r="A18" s="28"/>
      <c r="B18" s="28"/>
      <c r="C18" s="28"/>
      <c r="D18" s="28"/>
    </row>
    <row r="19" spans="1:4" ht="12.75" customHeight="1" x14ac:dyDescent="0.35">
      <c r="A19" s="28"/>
      <c r="B19" s="28"/>
      <c r="C19" s="1377" t="s">
        <v>6318</v>
      </c>
      <c r="D19" s="28"/>
    </row>
    <row r="20" spans="1:4" ht="12.75" customHeight="1" x14ac:dyDescent="0.35">
      <c r="A20" s="28"/>
      <c r="B20" s="28" t="s">
        <v>6249</v>
      </c>
      <c r="C20" s="28"/>
      <c r="D20" s="28"/>
    </row>
    <row r="21" spans="1:4" ht="12.75" customHeight="1" x14ac:dyDescent="0.35">
      <c r="A21" s="28"/>
      <c r="B21" s="28"/>
      <c r="C21" s="28" t="s">
        <v>3252</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t="s">
        <v>3251</v>
      </c>
      <c r="C24" s="28"/>
      <c r="D24" s="28"/>
    </row>
    <row r="25" spans="1:4" ht="12.75" customHeight="1" x14ac:dyDescent="0.35">
      <c r="A25" s="28"/>
      <c r="B25" s="28"/>
      <c r="C25" s="28" t="s">
        <v>3253</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1377" t="s">
        <v>6322</v>
      </c>
      <c r="D29" s="28"/>
    </row>
    <row r="30" spans="1:4" ht="12.75" customHeight="1" x14ac:dyDescent="0.35">
      <c r="A30" s="28"/>
      <c r="B30" s="28" t="s">
        <v>3251</v>
      </c>
      <c r="C30" s="28"/>
      <c r="D30" s="28"/>
    </row>
    <row r="31" spans="1:4" ht="12.75" customHeight="1" x14ac:dyDescent="0.35">
      <c r="A31" s="28"/>
      <c r="B31" s="28"/>
      <c r="C31" s="28" t="s">
        <v>3252</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t="s">
        <v>3251</v>
      </c>
      <c r="C34" s="28"/>
      <c r="D34" s="28"/>
    </row>
    <row r="35" spans="1:4" ht="12.75" customHeight="1" x14ac:dyDescent="0.35">
      <c r="A35" s="28"/>
      <c r="B35" s="28"/>
      <c r="C35" s="28" t="s">
        <v>3253</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1377" t="s">
        <v>6323</v>
      </c>
      <c r="D39" s="28"/>
    </row>
    <row r="40" spans="1:4" ht="12.75" customHeight="1" x14ac:dyDescent="0.35">
      <c r="A40" s="28"/>
      <c r="B40" s="28" t="s">
        <v>3251</v>
      </c>
      <c r="C40" s="28"/>
      <c r="D40" s="28"/>
    </row>
    <row r="41" spans="1:4" ht="12.75" customHeight="1" x14ac:dyDescent="0.35">
      <c r="A41" s="28"/>
      <c r="B41" s="28"/>
      <c r="C41" s="28" t="s">
        <v>3252</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t="s">
        <v>3251</v>
      </c>
      <c r="C44" s="28"/>
      <c r="D44" s="28"/>
    </row>
    <row r="45" spans="1:4" ht="12.75" customHeight="1" x14ac:dyDescent="0.35">
      <c r="A45" s="28"/>
      <c r="B45" s="28"/>
      <c r="C45" s="28" t="s">
        <v>3253</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t="s">
        <v>3251</v>
      </c>
      <c r="C50" s="28"/>
      <c r="D50" s="28"/>
    </row>
    <row r="51" spans="1:4" ht="12.75" customHeight="1" x14ac:dyDescent="0.35">
      <c r="A51" s="28"/>
      <c r="B51" s="28"/>
      <c r="C51" s="28" t="s">
        <v>3252</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t="s">
        <v>3251</v>
      </c>
      <c r="C54" s="28"/>
      <c r="D54" s="28"/>
    </row>
    <row r="55" spans="1:4" ht="12.75" customHeight="1" x14ac:dyDescent="0.35">
      <c r="A55" s="28"/>
      <c r="B55" s="28"/>
      <c r="C55" s="28" t="s">
        <v>3253</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t="s">
        <v>3251</v>
      </c>
      <c r="C60" s="28"/>
      <c r="D60" s="28"/>
    </row>
    <row r="61" spans="1:4" ht="12.75" customHeight="1" x14ac:dyDescent="0.35">
      <c r="A61" s="28"/>
      <c r="B61" s="28"/>
      <c r="C61" s="28" t="s">
        <v>3252</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t="s">
        <v>3251</v>
      </c>
      <c r="C64" s="28"/>
      <c r="D64" s="28"/>
    </row>
    <row r="65" spans="1:4" ht="12.75" customHeight="1" x14ac:dyDescent="0.35">
      <c r="A65" s="28"/>
      <c r="B65" s="28"/>
      <c r="C65" s="28" t="s">
        <v>3253</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t="s">
        <v>3251</v>
      </c>
      <c r="C70" s="28"/>
      <c r="D70" s="28"/>
    </row>
    <row r="71" spans="1:4" ht="12.75" customHeight="1" x14ac:dyDescent="0.35">
      <c r="A71" s="28"/>
      <c r="B71" s="28"/>
      <c r="C71" s="28" t="s">
        <v>3252</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28" t="s">
        <v>3251</v>
      </c>
      <c r="C74" s="28"/>
      <c r="D74" s="28"/>
    </row>
    <row r="75" spans="1:4" ht="12.75" customHeight="1" x14ac:dyDescent="0.35">
      <c r="A75" s="28"/>
      <c r="B75" s="28"/>
      <c r="C75" s="28" t="s">
        <v>3253</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t="s">
        <v>3251</v>
      </c>
      <c r="C80" s="28"/>
      <c r="D80" s="28"/>
    </row>
    <row r="81" spans="1:4" ht="12.75" customHeight="1" x14ac:dyDescent="0.35">
      <c r="A81" s="28"/>
      <c r="B81" s="28"/>
      <c r="C81" s="28" t="s">
        <v>3252</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t="s">
        <v>3251</v>
      </c>
      <c r="C84" s="28"/>
      <c r="D84" s="28"/>
    </row>
    <row r="85" spans="1:4" ht="12.75" customHeight="1" x14ac:dyDescent="0.35">
      <c r="A85" s="28"/>
      <c r="B85" s="28"/>
      <c r="C85" s="28" t="s">
        <v>3253</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t="s">
        <v>3251</v>
      </c>
      <c r="C90" s="28"/>
      <c r="D90" s="28"/>
    </row>
    <row r="91" spans="1:4" ht="12.75" customHeight="1" x14ac:dyDescent="0.35">
      <c r="A91" s="28"/>
      <c r="B91" s="28"/>
      <c r="C91" s="28" t="s">
        <v>3252</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t="s">
        <v>3251</v>
      </c>
      <c r="C94" s="28"/>
      <c r="D94" s="28"/>
    </row>
    <row r="95" spans="1:4" ht="12.75" customHeight="1" x14ac:dyDescent="0.35">
      <c r="A95" s="28"/>
      <c r="B95" s="28"/>
      <c r="C95" s="28" t="s">
        <v>3253</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t="s">
        <v>3251</v>
      </c>
      <c r="C100" s="28"/>
      <c r="D100" s="28"/>
    </row>
    <row r="101" spans="1:4" ht="12.75" customHeight="1" x14ac:dyDescent="0.35">
      <c r="A101" s="28"/>
      <c r="B101" s="28"/>
      <c r="C101" s="28" t="s">
        <v>3252</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t="s">
        <v>3251</v>
      </c>
      <c r="C104" s="28"/>
      <c r="D104" s="28"/>
    </row>
    <row r="105" spans="1:4" ht="12.75" customHeight="1" x14ac:dyDescent="0.35">
      <c r="A105" s="28"/>
      <c r="B105" s="28"/>
      <c r="C105" s="28" t="s">
        <v>3253</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t="s">
        <v>3251</v>
      </c>
      <c r="C110" s="28"/>
      <c r="D110" s="28"/>
    </row>
    <row r="111" spans="1:4" ht="12.75" customHeight="1" x14ac:dyDescent="0.35">
      <c r="A111" s="28"/>
      <c r="B111" s="28"/>
      <c r="C111" s="28" t="s">
        <v>3252</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t="s">
        <v>3251</v>
      </c>
      <c r="C114" s="28"/>
      <c r="D114" s="28"/>
    </row>
    <row r="115" spans="1:4" ht="12.75" customHeight="1" x14ac:dyDescent="0.35">
      <c r="A115" s="28"/>
      <c r="B115" s="28"/>
      <c r="C115" s="28" t="s">
        <v>3253</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t="s">
        <v>3251</v>
      </c>
      <c r="C120" s="28"/>
      <c r="D120" s="28"/>
    </row>
    <row r="121" spans="1:4" ht="12.75" customHeight="1" x14ac:dyDescent="0.35">
      <c r="A121" s="28"/>
      <c r="B121" s="28"/>
      <c r="C121" s="28" t="s">
        <v>3252</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t="s">
        <v>3251</v>
      </c>
      <c r="C124" s="28"/>
      <c r="D124" s="28"/>
    </row>
    <row r="125" spans="1:4" ht="12.75" customHeight="1" x14ac:dyDescent="0.35">
      <c r="A125" s="28"/>
      <c r="B125" s="28"/>
      <c r="C125" s="28" t="s">
        <v>3253</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t="s">
        <v>3251</v>
      </c>
      <c r="C130" s="28"/>
      <c r="D130" s="28"/>
    </row>
    <row r="131" spans="1:4" ht="12.75" customHeight="1" x14ac:dyDescent="0.35">
      <c r="A131" s="28"/>
      <c r="B131" s="28"/>
      <c r="C131" s="28" t="s">
        <v>3252</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t="s">
        <v>3251</v>
      </c>
      <c r="C134" s="28"/>
      <c r="D134" s="28"/>
    </row>
    <row r="135" spans="1:4" ht="12.75" customHeight="1" x14ac:dyDescent="0.35">
      <c r="A135" s="28"/>
      <c r="B135" s="28"/>
      <c r="C135" s="28" t="s">
        <v>3253</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t="s">
        <v>3251</v>
      </c>
      <c r="C140" s="28"/>
      <c r="D140" s="28"/>
    </row>
    <row r="141" spans="1:4" ht="12.75" customHeight="1" x14ac:dyDescent="0.35">
      <c r="A141" s="28"/>
      <c r="B141" s="28"/>
      <c r="C141" s="28" t="s">
        <v>3252</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t="s">
        <v>3251</v>
      </c>
      <c r="C144" s="28"/>
      <c r="D144" s="28"/>
    </row>
    <row r="145" spans="1:4" ht="12.75" customHeight="1" x14ac:dyDescent="0.35">
      <c r="A145" s="28"/>
      <c r="B145" s="28"/>
      <c r="C145" s="28" t="s">
        <v>3253</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3251</v>
      </c>
      <c r="C150" s="28"/>
      <c r="D150" s="28"/>
    </row>
    <row r="151" spans="1:4" ht="12.75" customHeight="1" x14ac:dyDescent="0.35">
      <c r="A151" s="28"/>
      <c r="B151" s="28"/>
      <c r="C151" s="28" t="s">
        <v>3252</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t="s">
        <v>3251</v>
      </c>
      <c r="C154" s="28"/>
      <c r="D154" s="28"/>
    </row>
    <row r="155" spans="1:4" ht="12.75" customHeight="1" x14ac:dyDescent="0.35">
      <c r="A155" s="28"/>
      <c r="B155" s="28"/>
      <c r="C155" s="28" t="s">
        <v>3253</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3251</v>
      </c>
      <c r="C160" s="28"/>
      <c r="D160" s="28"/>
    </row>
    <row r="161" spans="1:4" ht="12.75" customHeight="1" x14ac:dyDescent="0.35">
      <c r="A161" s="28"/>
      <c r="B161" s="28"/>
      <c r="C161" s="28" t="s">
        <v>3252</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t="s">
        <v>3251</v>
      </c>
      <c r="C164" s="28"/>
      <c r="D164" s="28"/>
    </row>
    <row r="165" spans="1:4" ht="12.75" customHeight="1" x14ac:dyDescent="0.35">
      <c r="A165" s="28"/>
      <c r="B165" s="28"/>
      <c r="C165" s="28" t="s">
        <v>3253</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3251</v>
      </c>
      <c r="C170" s="28"/>
      <c r="D170" s="28"/>
    </row>
    <row r="171" spans="1:4" ht="12.75" customHeight="1" x14ac:dyDescent="0.35">
      <c r="A171" s="28"/>
      <c r="B171" s="28"/>
      <c r="C171" s="28" t="s">
        <v>3252</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3251</v>
      </c>
      <c r="C174" s="28"/>
      <c r="D174" s="28"/>
    </row>
    <row r="175" spans="1:4" ht="12.75" customHeight="1" x14ac:dyDescent="0.35">
      <c r="A175" s="28"/>
      <c r="B175" s="28"/>
      <c r="C175" s="28" t="s">
        <v>3253</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3251</v>
      </c>
      <c r="C180" s="28"/>
      <c r="D180" s="28"/>
    </row>
    <row r="181" spans="1:4" ht="12.75" customHeight="1" x14ac:dyDescent="0.35">
      <c r="A181" s="28"/>
      <c r="B181" s="28"/>
      <c r="C181" s="28" t="s">
        <v>3252</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3251</v>
      </c>
      <c r="C184" s="28"/>
      <c r="D184" s="28"/>
    </row>
    <row r="185" spans="1:4" ht="12.75" customHeight="1" x14ac:dyDescent="0.35">
      <c r="A185" s="28"/>
      <c r="B185" s="28"/>
      <c r="C185" s="28" t="s">
        <v>3253</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3251</v>
      </c>
      <c r="C190" s="28"/>
      <c r="D190" s="28"/>
    </row>
    <row r="191" spans="1:4" ht="12.75" customHeight="1" x14ac:dyDescent="0.35">
      <c r="A191" s="28"/>
      <c r="B191" s="28"/>
      <c r="C191" s="28" t="s">
        <v>3252</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3251</v>
      </c>
      <c r="C194" s="28"/>
      <c r="D194" s="28"/>
    </row>
    <row r="195" spans="1:4" ht="12.75" customHeight="1" x14ac:dyDescent="0.35">
      <c r="A195" s="28"/>
      <c r="B195" s="28"/>
      <c r="C195" s="28" t="s">
        <v>3253</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3251</v>
      </c>
      <c r="C200" s="28"/>
      <c r="D200" s="28"/>
    </row>
    <row r="201" spans="1:4" ht="12.75" customHeight="1" x14ac:dyDescent="0.35">
      <c r="A201" s="28"/>
      <c r="B201" s="28"/>
      <c r="C201" s="28" t="s">
        <v>3252</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28" t="s">
        <v>3251</v>
      </c>
      <c r="C204" s="28"/>
      <c r="D204" s="28"/>
    </row>
    <row r="205" spans="1:4" ht="12.75" customHeight="1" x14ac:dyDescent="0.35">
      <c r="A205" s="28"/>
      <c r="B205" s="28"/>
      <c r="C205" s="28" t="s">
        <v>3253</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3251</v>
      </c>
      <c r="C210" s="28"/>
      <c r="D210" s="28"/>
    </row>
    <row r="211" spans="1:4" ht="12.75" customHeight="1" x14ac:dyDescent="0.35">
      <c r="A211" s="28"/>
      <c r="B211" s="28"/>
      <c r="C211" s="28" t="s">
        <v>3252</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28" t="s">
        <v>3251</v>
      </c>
      <c r="C214" s="28"/>
      <c r="D214" s="28"/>
    </row>
    <row r="215" spans="1:4" ht="12.75" customHeight="1" x14ac:dyDescent="0.35">
      <c r="A215" s="28"/>
      <c r="B215" s="28"/>
      <c r="C215" s="28" t="s">
        <v>3253</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3251</v>
      </c>
      <c r="C220" s="28"/>
      <c r="D220" s="28"/>
    </row>
    <row r="221" spans="1:4" ht="12.75" customHeight="1" x14ac:dyDescent="0.35">
      <c r="A221" s="28"/>
      <c r="B221" s="28"/>
      <c r="C221" s="28" t="s">
        <v>3252</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3251</v>
      </c>
      <c r="C224" s="28"/>
      <c r="D224" s="28"/>
    </row>
    <row r="225" spans="1:4" ht="12.75" customHeight="1" x14ac:dyDescent="0.35">
      <c r="A225" s="28"/>
      <c r="B225" s="28"/>
      <c r="C225" s="28" t="s">
        <v>3253</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3251</v>
      </c>
      <c r="C230" s="28"/>
      <c r="D230" s="28"/>
    </row>
    <row r="231" spans="1:4" ht="12.75" customHeight="1" x14ac:dyDescent="0.35">
      <c r="A231" s="28"/>
      <c r="B231" s="28"/>
      <c r="C231" s="28" t="s">
        <v>3252</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3251</v>
      </c>
      <c r="C234" s="28"/>
      <c r="D234" s="28"/>
    </row>
    <row r="235" spans="1:4" ht="12.75" customHeight="1" x14ac:dyDescent="0.35">
      <c r="A235" s="28"/>
      <c r="B235" s="28"/>
      <c r="C235" s="28" t="s">
        <v>3253</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3251</v>
      </c>
      <c r="C240" s="28"/>
      <c r="D240" s="28"/>
    </row>
    <row r="241" spans="1:4" ht="12.75" customHeight="1" x14ac:dyDescent="0.35">
      <c r="A241" s="28"/>
      <c r="B241" s="28"/>
      <c r="C241" s="28" t="s">
        <v>3252</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3251</v>
      </c>
      <c r="C244" s="28"/>
      <c r="D244" s="28"/>
    </row>
    <row r="245" spans="1:4" ht="12.75" customHeight="1" x14ac:dyDescent="0.35">
      <c r="A245" s="28"/>
      <c r="B245" s="28"/>
      <c r="C245" s="28" t="s">
        <v>3253</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3251</v>
      </c>
      <c r="C250" s="28"/>
      <c r="D250" s="28"/>
    </row>
    <row r="251" spans="1:4" ht="12.75" customHeight="1" x14ac:dyDescent="0.35">
      <c r="A251" s="28"/>
      <c r="B251" s="28"/>
      <c r="C251" s="28" t="s">
        <v>3252</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3251</v>
      </c>
      <c r="C254" s="28"/>
      <c r="D254" s="28"/>
    </row>
    <row r="255" spans="1:4" ht="12.75" customHeight="1" x14ac:dyDescent="0.35">
      <c r="A255" s="28"/>
      <c r="B255" s="28"/>
      <c r="C255" s="28" t="s">
        <v>3253</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3251</v>
      </c>
      <c r="C260" s="28"/>
      <c r="D260" s="28"/>
    </row>
    <row r="261" spans="1:4" ht="12.75" customHeight="1" x14ac:dyDescent="0.35">
      <c r="A261" s="28"/>
      <c r="B261" s="28"/>
      <c r="C261" s="28" t="s">
        <v>3252</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3251</v>
      </c>
      <c r="C264" s="28"/>
      <c r="D264" s="28"/>
    </row>
    <row r="265" spans="1:4" ht="12.75" customHeight="1" x14ac:dyDescent="0.35">
      <c r="A265" s="28"/>
      <c r="B265" s="28"/>
      <c r="C265" s="28" t="s">
        <v>3253</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3251</v>
      </c>
      <c r="C270" s="28"/>
      <c r="D270" s="28"/>
    </row>
    <row r="271" spans="1:4" ht="12.75" customHeight="1" x14ac:dyDescent="0.35">
      <c r="A271" s="28"/>
      <c r="B271" s="28"/>
      <c r="C271" s="28" t="s">
        <v>3252</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3251</v>
      </c>
      <c r="C274" s="28"/>
      <c r="D274" s="28"/>
    </row>
    <row r="275" spans="1:4" ht="12.75" customHeight="1" x14ac:dyDescent="0.35">
      <c r="A275" s="28"/>
      <c r="B275" s="28"/>
      <c r="C275" s="28" t="s">
        <v>3253</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3251</v>
      </c>
      <c r="C280" s="28"/>
      <c r="D280" s="28"/>
    </row>
    <row r="281" spans="1:4" ht="12.75" customHeight="1" x14ac:dyDescent="0.35">
      <c r="A281" s="28"/>
      <c r="B281" s="28"/>
      <c r="C281" s="28" t="s">
        <v>3252</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3251</v>
      </c>
      <c r="C284" s="28"/>
      <c r="D284" s="28"/>
    </row>
    <row r="285" spans="1:4" ht="12.75" customHeight="1" x14ac:dyDescent="0.35">
      <c r="A285" s="28"/>
      <c r="B285" s="28"/>
      <c r="C285" s="28" t="s">
        <v>3253</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3251</v>
      </c>
      <c r="C290" s="28"/>
      <c r="D290" s="28"/>
    </row>
    <row r="291" spans="1:4" ht="12.75" customHeight="1" x14ac:dyDescent="0.35">
      <c r="A291" s="28"/>
      <c r="B291" s="28"/>
      <c r="C291" s="28" t="s">
        <v>3252</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3251</v>
      </c>
      <c r="C294" s="28"/>
      <c r="D294" s="28"/>
    </row>
    <row r="295" spans="1:4" ht="12.75" customHeight="1" x14ac:dyDescent="0.35">
      <c r="A295" s="28"/>
      <c r="B295" s="28"/>
      <c r="C295" s="28" t="s">
        <v>3253</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3251</v>
      </c>
      <c r="C300" s="28"/>
      <c r="D300" s="28"/>
    </row>
    <row r="301" spans="1:4" ht="12.75" customHeight="1" x14ac:dyDescent="0.35">
      <c r="A301" s="28"/>
      <c r="B301" s="28"/>
      <c r="C301" s="28" t="s">
        <v>3252</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3251</v>
      </c>
      <c r="C304" s="28"/>
      <c r="D304" s="28"/>
    </row>
    <row r="305" spans="1:4" ht="12.75" customHeight="1" x14ac:dyDescent="0.35">
      <c r="A305" s="28"/>
      <c r="B305" s="28"/>
      <c r="C305" s="28" t="s">
        <v>3253</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3251</v>
      </c>
      <c r="C310" s="28"/>
      <c r="D310" s="28"/>
    </row>
    <row r="311" spans="1:4" ht="12.75" customHeight="1" x14ac:dyDescent="0.35">
      <c r="A311" s="28"/>
      <c r="B311" s="28"/>
      <c r="C311" s="28" t="s">
        <v>3252</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3251</v>
      </c>
      <c r="C314" s="28"/>
      <c r="D314" s="28"/>
    </row>
    <row r="315" spans="1:4" ht="12.75" customHeight="1" x14ac:dyDescent="0.35">
      <c r="A315" s="28"/>
      <c r="B315" s="28"/>
      <c r="C315" s="28" t="s">
        <v>3253</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3254</v>
      </c>
      <c r="C318" s="28"/>
      <c r="D318" s="28"/>
    </row>
    <row r="319" spans="1:4" ht="12.75" customHeight="1" x14ac:dyDescent="0.35">
      <c r="A319" s="28"/>
      <c r="B319" s="28" t="s">
        <v>3255</v>
      </c>
      <c r="C319" s="28"/>
      <c r="D319" s="28"/>
    </row>
    <row r="320" spans="1:4" ht="12.75" customHeight="1" x14ac:dyDescent="0.35">
      <c r="A320" s="28"/>
      <c r="B320" s="28" t="s">
        <v>3256</v>
      </c>
      <c r="C320" s="28"/>
      <c r="D320" s="28"/>
    </row>
    <row r="321" spans="1:4" ht="12.75" customHeight="1" x14ac:dyDescent="0.35">
      <c r="A321" s="28"/>
      <c r="B321" s="28" t="s">
        <v>3257</v>
      </c>
      <c r="C321" s="28"/>
      <c r="D321" s="28"/>
    </row>
    <row r="322" spans="1:4" ht="12.75" customHeight="1" x14ac:dyDescent="0.35">
      <c r="A322" s="28"/>
      <c r="B322" s="28" t="s">
        <v>3252</v>
      </c>
      <c r="C322" s="28"/>
      <c r="D322" s="28"/>
    </row>
    <row r="323" spans="1:4" ht="12.75" customHeight="1" x14ac:dyDescent="0.35">
      <c r="A323" s="28"/>
      <c r="B323" s="28" t="s">
        <v>3258</v>
      </c>
      <c r="C323" s="28"/>
      <c r="D323" s="28"/>
    </row>
    <row r="324" spans="1:4" ht="12.75" customHeight="1" x14ac:dyDescent="0.35">
      <c r="A324" s="28"/>
      <c r="B324" s="28" t="s">
        <v>3255</v>
      </c>
      <c r="C324" s="28"/>
      <c r="D324" s="28"/>
    </row>
    <row r="325" spans="1:4" ht="12.75" customHeight="1" x14ac:dyDescent="0.35">
      <c r="A325" s="28"/>
      <c r="B325" s="28" t="s">
        <v>3249</v>
      </c>
      <c r="C325" s="28"/>
      <c r="D325" s="28"/>
    </row>
    <row r="326" spans="1:4" ht="12.75" customHeight="1" x14ac:dyDescent="0.35">
      <c r="A326" s="28"/>
      <c r="B326" s="28" t="s">
        <v>3257</v>
      </c>
      <c r="C326" s="28"/>
      <c r="D326" s="28"/>
    </row>
    <row r="327" spans="1:4" ht="12.75" customHeight="1" x14ac:dyDescent="0.35">
      <c r="A327" s="28"/>
      <c r="B327" s="28" t="s">
        <v>3253</v>
      </c>
      <c r="C327" s="28"/>
      <c r="D327" s="28"/>
    </row>
    <row r="328" spans="1:4" ht="12.75" customHeight="1" x14ac:dyDescent="0.35">
      <c r="A328" s="28"/>
      <c r="B328" s="28"/>
      <c r="C328" s="28"/>
      <c r="D328" s="28"/>
    </row>
    <row r="329" spans="1:4" ht="12.75" customHeight="1" x14ac:dyDescent="0.35">
      <c r="A329" s="28"/>
      <c r="B329" s="28" t="s">
        <v>3259</v>
      </c>
      <c r="C329" s="28"/>
      <c r="D329" s="28"/>
    </row>
    <row r="330" spans="1:4" ht="12.75" customHeight="1" x14ac:dyDescent="0.35">
      <c r="A330" s="28"/>
      <c r="B330" s="28" t="s">
        <v>3260</v>
      </c>
      <c r="C330" s="28"/>
      <c r="D330" s="28"/>
    </row>
    <row r="331" spans="1:4" ht="12.75" customHeight="1" x14ac:dyDescent="0.35">
      <c r="A331" s="28"/>
      <c r="B331" s="28" t="s">
        <v>3261</v>
      </c>
      <c r="C331" s="28"/>
      <c r="D331" s="28"/>
    </row>
    <row r="332" spans="1:4" ht="12.75" customHeight="1" x14ac:dyDescent="0.35">
      <c r="A332" s="28"/>
      <c r="B332" s="28" t="s">
        <v>3262</v>
      </c>
      <c r="C332" s="28"/>
      <c r="D332" s="28"/>
    </row>
    <row r="333" spans="1:4" ht="12.75" customHeight="1" x14ac:dyDescent="0.35">
      <c r="A333" s="28"/>
      <c r="B333" s="28" t="s">
        <v>3263</v>
      </c>
      <c r="C333" s="28"/>
      <c r="D333" s="28"/>
    </row>
    <row r="334" spans="1:4" ht="12.75" customHeight="1" x14ac:dyDescent="0.35">
      <c r="A334" s="28"/>
      <c r="B334" s="28"/>
      <c r="C334" s="28"/>
      <c r="D334" s="28"/>
    </row>
    <row r="335" spans="1:4" ht="12.75" customHeight="1" x14ac:dyDescent="0.35">
      <c r="A335" s="28"/>
      <c r="B335" s="28" t="s">
        <v>3264</v>
      </c>
      <c r="C335" s="28"/>
      <c r="D335" s="28" t="s">
        <v>3265</v>
      </c>
    </row>
    <row r="336" spans="1:4" ht="12.75" customHeight="1" x14ac:dyDescent="0.35">
      <c r="A336" s="28"/>
      <c r="B336" s="28" t="s">
        <v>3266</v>
      </c>
      <c r="C336" s="28"/>
      <c r="D336" s="28"/>
    </row>
    <row r="337" spans="1:4" ht="12.75" customHeight="1" x14ac:dyDescent="0.35">
      <c r="A337" s="28"/>
      <c r="B337" s="28" t="s">
        <v>3267</v>
      </c>
      <c r="C337" s="28"/>
      <c r="D337" s="28"/>
    </row>
    <row r="338" spans="1:4" ht="12.75" customHeight="1" x14ac:dyDescent="0.35">
      <c r="A338" s="28"/>
      <c r="B338" s="28" t="s">
        <v>3268</v>
      </c>
      <c r="C338" s="28"/>
      <c r="D338" s="28"/>
    </row>
    <row r="339" spans="1:4" ht="12.75" customHeight="1" x14ac:dyDescent="0.35">
      <c r="A339" s="28"/>
      <c r="B339" s="28" t="s">
        <v>3269</v>
      </c>
      <c r="C339" s="28"/>
      <c r="D339" s="28"/>
    </row>
    <row r="340" spans="1:4" ht="12.75" customHeight="1" x14ac:dyDescent="0.35">
      <c r="A340" s="28"/>
      <c r="B340" s="28" t="s">
        <v>3270</v>
      </c>
      <c r="C340" s="28"/>
      <c r="D340" s="28"/>
    </row>
    <row r="341" spans="1:4" ht="12.75" customHeight="1" x14ac:dyDescent="0.35">
      <c r="A341" s="28"/>
      <c r="B341" s="28" t="s">
        <v>3271</v>
      </c>
      <c r="C341" s="28"/>
      <c r="D341" s="28"/>
    </row>
    <row r="342" spans="1:4" ht="12.75" customHeight="1" x14ac:dyDescent="0.35">
      <c r="A342" s="28"/>
      <c r="B342" s="28" t="s">
        <v>3272</v>
      </c>
      <c r="C342" s="28"/>
      <c r="D342" s="28"/>
    </row>
    <row r="343" spans="1:4" ht="12.75" customHeight="1" x14ac:dyDescent="0.35">
      <c r="A343" s="28"/>
      <c r="B343" s="28" t="s">
        <v>3273</v>
      </c>
      <c r="C343" s="28"/>
      <c r="D343" s="28"/>
    </row>
    <row r="344" spans="1:4" ht="12.75" customHeight="1" x14ac:dyDescent="0.35">
      <c r="A344" s="28"/>
      <c r="B344" s="28" t="s">
        <v>3274</v>
      </c>
      <c r="C344" s="28"/>
      <c r="D344" s="28"/>
    </row>
    <row r="345" spans="1:4" ht="12.75" customHeight="1" x14ac:dyDescent="0.35">
      <c r="A345" s="28"/>
      <c r="B345" s="28" t="s">
        <v>3275</v>
      </c>
      <c r="C345" s="28"/>
      <c r="D345" s="28"/>
    </row>
    <row r="346" spans="1:4" ht="12.75" customHeight="1" x14ac:dyDescent="0.35">
      <c r="A346" s="28"/>
      <c r="B346" s="28" t="s">
        <v>3276</v>
      </c>
      <c r="C346" s="28"/>
      <c r="D346" s="28"/>
    </row>
    <row r="347" spans="1:4" ht="12.75" customHeight="1" x14ac:dyDescent="0.35">
      <c r="A347" s="28"/>
      <c r="B347" s="28"/>
      <c r="C347" s="28" t="s">
        <v>3277</v>
      </c>
      <c r="D347" s="28"/>
    </row>
    <row r="348" spans="1:4" ht="12.75" customHeight="1" x14ac:dyDescent="0.35">
      <c r="A348" s="28"/>
      <c r="B348" s="28"/>
      <c r="C348" s="28"/>
      <c r="D348" s="28"/>
    </row>
    <row r="349" spans="1:4" ht="12.75" customHeight="1" x14ac:dyDescent="0.35">
      <c r="A349" s="28"/>
      <c r="B349" s="28"/>
      <c r="C349" s="28" t="s">
        <v>3278</v>
      </c>
      <c r="D349" s="28"/>
    </row>
    <row r="350" spans="1:4" ht="12.75" customHeight="1" x14ac:dyDescent="0.35">
      <c r="A350" s="28"/>
      <c r="B350" s="28"/>
      <c r="C350" s="28" t="s">
        <v>2522</v>
      </c>
      <c r="D350" s="28"/>
    </row>
    <row r="351" spans="1:4" ht="12.75" customHeight="1" x14ac:dyDescent="0.35">
      <c r="A351" s="28"/>
      <c r="B351" s="28"/>
      <c r="C351" s="28" t="s">
        <v>3279</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3280</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3281</v>
      </c>
      <c r="D422" s="28"/>
    </row>
    <row r="423" spans="1:4" ht="12.75" customHeight="1" x14ac:dyDescent="0.35">
      <c r="A423" s="28"/>
      <c r="B423" s="28" t="s">
        <v>3282</v>
      </c>
      <c r="C423" s="28"/>
      <c r="D423" s="28"/>
    </row>
    <row r="424" spans="1:4" ht="12.75" customHeight="1" x14ac:dyDescent="0.35">
      <c r="A424" s="28"/>
      <c r="B424" s="28" t="s">
        <v>3283</v>
      </c>
      <c r="C424" s="28"/>
      <c r="D424" s="28"/>
    </row>
    <row r="425" spans="1:4" ht="12.75" customHeight="1" x14ac:dyDescent="0.35">
      <c r="A425" s="28"/>
      <c r="B425" s="28" t="s">
        <v>2522</v>
      </c>
      <c r="C425" s="28"/>
      <c r="D425" s="28"/>
    </row>
    <row r="426" spans="1:4" ht="12.75" customHeight="1" x14ac:dyDescent="0.35">
      <c r="A426" s="28"/>
      <c r="B426" s="28" t="s">
        <v>3284</v>
      </c>
      <c r="C426" s="28"/>
      <c r="D426" s="28"/>
    </row>
    <row r="427" spans="1:4" ht="12.75" customHeight="1" x14ac:dyDescent="0.35">
      <c r="A427" s="28"/>
      <c r="B427" s="28" t="s">
        <v>3285</v>
      </c>
      <c r="C427" s="28"/>
      <c r="D427" s="28"/>
    </row>
    <row r="428" spans="1:4" ht="12.75" customHeight="1" x14ac:dyDescent="0.35">
      <c r="A428" s="28"/>
      <c r="B428" s="28" t="s">
        <v>3286</v>
      </c>
      <c r="C428" s="28"/>
      <c r="D428" s="28"/>
    </row>
    <row r="429" spans="1:4" ht="12.75" customHeight="1" x14ac:dyDescent="0.35">
      <c r="A429" s="28"/>
      <c r="B429" s="28" t="s">
        <v>3287</v>
      </c>
      <c r="C429" s="28"/>
      <c r="D429" s="28"/>
    </row>
    <row r="430" spans="1:4" ht="12.75" customHeight="1" x14ac:dyDescent="0.35">
      <c r="A430" s="28"/>
      <c r="B430" s="28" t="s">
        <v>3288</v>
      </c>
      <c r="C430" s="28"/>
      <c r="D430" s="28"/>
    </row>
    <row r="431" spans="1:4" ht="12.75" customHeight="1" x14ac:dyDescent="0.35">
      <c r="A431" s="28"/>
      <c r="B431" s="28" t="s">
        <v>3289</v>
      </c>
      <c r="C431" s="28"/>
      <c r="D431" s="28"/>
    </row>
    <row r="432" spans="1:4" ht="12.75" customHeight="1" x14ac:dyDescent="0.35">
      <c r="A432" s="28"/>
      <c r="B432" s="28" t="s">
        <v>3290</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3291</v>
      </c>
      <c r="C439" s="28"/>
      <c r="D439" s="28"/>
    </row>
    <row r="440" spans="1:4" ht="12.75" customHeight="1" x14ac:dyDescent="0.35">
      <c r="A440" s="28"/>
      <c r="B440" s="28"/>
      <c r="C440" s="28"/>
      <c r="D440" s="28"/>
    </row>
    <row r="441" spans="1:4" ht="12.75" customHeight="1" x14ac:dyDescent="0.35">
      <c r="A441" s="28"/>
      <c r="B441" s="28" t="s">
        <v>3247</v>
      </c>
      <c r="C441" s="28"/>
      <c r="D441" s="28"/>
    </row>
    <row r="442" spans="1:4" ht="12.75" customHeight="1" x14ac:dyDescent="0.35">
      <c r="A442" s="28"/>
      <c r="B442" s="28" t="s">
        <v>3292</v>
      </c>
      <c r="C442" s="28"/>
      <c r="D442" s="28"/>
    </row>
    <row r="443" spans="1:4" ht="12.75" customHeight="1" x14ac:dyDescent="0.35">
      <c r="A443" s="28"/>
      <c r="B443" s="28"/>
      <c r="C443" s="1377" t="s">
        <v>6324</v>
      </c>
      <c r="D443" s="28"/>
    </row>
    <row r="444" spans="1:4" ht="12.75" customHeight="1" x14ac:dyDescent="0.35">
      <c r="A444" s="28"/>
      <c r="B444" s="28"/>
      <c r="C444" s="1377" t="s">
        <v>6325</v>
      </c>
      <c r="D444" s="28"/>
    </row>
    <row r="445" spans="1:4" ht="12.75" customHeight="1" x14ac:dyDescent="0.35">
      <c r="A445" s="28"/>
      <c r="B445" s="28"/>
      <c r="C445" s="1377" t="s">
        <v>6326</v>
      </c>
      <c r="D445" s="28"/>
    </row>
    <row r="446" spans="1:4" ht="12.75" customHeight="1" x14ac:dyDescent="0.35">
      <c r="A446" s="28"/>
      <c r="B446" s="28"/>
      <c r="C446" s="1377" t="s">
        <v>6327</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3293</v>
      </c>
      <c r="C456" s="28"/>
      <c r="D456" s="28"/>
    </row>
    <row r="457" spans="1:4" ht="12.75" customHeight="1" x14ac:dyDescent="0.35">
      <c r="A457" s="28"/>
      <c r="B457" s="28" t="s">
        <v>5551</v>
      </c>
      <c r="C457" s="28"/>
      <c r="D457" s="28"/>
    </row>
    <row r="458" spans="1:4" ht="12.75" customHeight="1" x14ac:dyDescent="0.35">
      <c r="A458" s="28"/>
      <c r="B458" s="28" t="str">
        <f>IF(PrintMode=0,"      ","")&amp;"Sonstige betriebliche Erträge"</f>
        <v xml:space="preserve">      Sonstige betriebliche Erträge</v>
      </c>
      <c r="C458" s="28"/>
      <c r="D458" s="28"/>
    </row>
    <row r="459" spans="1:4" ht="12.75" customHeight="1" x14ac:dyDescent="0.35">
      <c r="A459" s="28"/>
      <c r="B459" s="28" t="s">
        <v>3294</v>
      </c>
      <c r="C459" s="28"/>
      <c r="D459" s="28"/>
    </row>
    <row r="460" spans="1:4" ht="12.75" customHeight="1" x14ac:dyDescent="0.35">
      <c r="A460" s="28"/>
      <c r="B460" s="28"/>
      <c r="C460" s="28" t="s">
        <v>3295</v>
      </c>
      <c r="D460" s="28"/>
    </row>
    <row r="461" spans="1:4" ht="12.75" customHeight="1" x14ac:dyDescent="0.35">
      <c r="A461" s="28"/>
      <c r="B461" s="28"/>
      <c r="C461" s="1377" t="s">
        <v>6328</v>
      </c>
      <c r="D461" s="28"/>
    </row>
    <row r="462" spans="1:4" ht="12.75" customHeight="1" x14ac:dyDescent="0.35">
      <c r="A462" s="28"/>
      <c r="B462" s="28"/>
      <c r="C462" s="1377" t="s">
        <v>6329</v>
      </c>
      <c r="D462" s="28"/>
    </row>
    <row r="463" spans="1:4" ht="12.75" customHeight="1" x14ac:dyDescent="0.35">
      <c r="A463" s="28"/>
      <c r="B463" s="28"/>
      <c r="C463" s="28" t="s">
        <v>3296</v>
      </c>
      <c r="D463" s="28"/>
    </row>
    <row r="464" spans="1:4" ht="12.75" customHeight="1" x14ac:dyDescent="0.35">
      <c r="A464" s="28"/>
      <c r="B464" s="28"/>
      <c r="C464" s="28" t="s">
        <v>3297</v>
      </c>
      <c r="D464" s="28"/>
    </row>
    <row r="465" spans="1:4" ht="12.75" customHeight="1" x14ac:dyDescent="0.35">
      <c r="A465" s="28"/>
      <c r="B465" s="28"/>
      <c r="C465" s="28" t="s">
        <v>3298</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3299</v>
      </c>
      <c r="C472" s="28"/>
      <c r="D472" s="28"/>
    </row>
    <row r="473" spans="1:4" ht="12.75" customHeight="1" x14ac:dyDescent="0.35">
      <c r="A473" s="28"/>
      <c r="B473" s="28" t="s">
        <v>5551</v>
      </c>
      <c r="C473" s="28"/>
      <c r="D473" s="28"/>
    </row>
    <row r="474" spans="1:4" ht="12.75" customHeight="1" x14ac:dyDescent="0.35">
      <c r="A474" s="28"/>
      <c r="B474" s="28" t="s">
        <v>5552</v>
      </c>
      <c r="C474" s="28"/>
      <c r="D474" s="28"/>
    </row>
    <row r="475" spans="1:4" ht="12.75" customHeight="1" x14ac:dyDescent="0.35">
      <c r="A475" s="28"/>
      <c r="B475" s="28" t="s">
        <v>3300</v>
      </c>
      <c r="C475" s="28"/>
      <c r="D475" s="28"/>
    </row>
    <row r="476" spans="1:4" ht="12.75" customHeight="1" x14ac:dyDescent="0.35">
      <c r="A476" s="28"/>
      <c r="B476" s="28"/>
      <c r="C476" s="28" t="s">
        <v>3297</v>
      </c>
      <c r="D476" s="28"/>
    </row>
    <row r="477" spans="1:4" ht="12.75" customHeight="1" x14ac:dyDescent="0.35">
      <c r="A477" s="28"/>
      <c r="B477" s="28"/>
      <c r="C477" s="28" t="s">
        <v>3301</v>
      </c>
      <c r="D477" s="28"/>
    </row>
    <row r="478" spans="1:4" ht="12.75" customHeight="1" x14ac:dyDescent="0.35">
      <c r="A478" s="28"/>
      <c r="B478" s="28"/>
      <c r="C478" s="28" t="s">
        <v>3302</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D485" s="28"/>
    </row>
    <row r="486" spans="1:4" ht="12.75" customHeight="1" x14ac:dyDescent="0.35">
      <c r="A486" s="28"/>
      <c r="B486" s="28" t="str">
        <f>"Veränderung Rückstellungen"&amp;IF(CalculatedDepreciation,", anderen","")</f>
        <v>Veränderung Rückstellungen</v>
      </c>
      <c r="C486" s="28"/>
      <c r="D486" s="28"/>
    </row>
    <row r="487" spans="1:4" ht="12.75" customHeight="1" x14ac:dyDescent="0.35">
      <c r="A487" s="28"/>
      <c r="B487" s="1250" t="s">
        <v>5611</v>
      </c>
      <c r="C487" s="28"/>
      <c r="D487" s="28"/>
    </row>
    <row r="488" spans="1:4" ht="12.75" customHeight="1" x14ac:dyDescent="0.35">
      <c r="A488" s="28"/>
      <c r="B488" s="28" t="s">
        <v>3303</v>
      </c>
      <c r="C488" s="28"/>
      <c r="D488" s="28"/>
    </row>
    <row r="489" spans="1:4" ht="12.75" customHeight="1" x14ac:dyDescent="0.35">
      <c r="A489" s="28"/>
      <c r="B489" s="28" t="s">
        <v>5551</v>
      </c>
      <c r="C489" s="28"/>
      <c r="D489" s="28"/>
    </row>
    <row r="490" spans="1:4" ht="12.75" customHeight="1" x14ac:dyDescent="0.35">
      <c r="A490" s="28"/>
      <c r="B490" s="28" t="s">
        <v>5339</v>
      </c>
      <c r="C490" s="28"/>
      <c r="D490" s="28"/>
    </row>
    <row r="491" spans="1:4" ht="12.75" customHeight="1" x14ac:dyDescent="0.35">
      <c r="A491" s="28"/>
      <c r="B491" s="28" t="s">
        <v>3256</v>
      </c>
      <c r="C491" s="28"/>
      <c r="D491" s="28"/>
    </row>
    <row r="492" spans="1:4" ht="12.75" customHeight="1" x14ac:dyDescent="0.35">
      <c r="A492" s="28"/>
      <c r="B492" s="28"/>
      <c r="C492" s="28" t="s">
        <v>3304</v>
      </c>
      <c r="D492" s="28"/>
    </row>
    <row r="493" spans="1:4" ht="12.75" customHeight="1" x14ac:dyDescent="0.35">
      <c r="A493" s="28"/>
      <c r="B493" s="28"/>
      <c r="C493" s="28" t="s">
        <v>3305</v>
      </c>
      <c r="D493" s="28"/>
    </row>
    <row r="494" spans="1:4" ht="12.75" customHeight="1" x14ac:dyDescent="0.35">
      <c r="A494" s="28"/>
      <c r="B494" s="28" t="s">
        <v>3306</v>
      </c>
      <c r="C494" s="28"/>
      <c r="D494" s="28"/>
    </row>
    <row r="495" spans="1:4" ht="12.75" customHeight="1" x14ac:dyDescent="0.35">
      <c r="A495" s="28"/>
      <c r="B495" s="28" t="s">
        <v>5551</v>
      </c>
      <c r="C495" s="28"/>
      <c r="D495" s="28"/>
    </row>
    <row r="496" spans="1:4" ht="12.75" customHeight="1" x14ac:dyDescent="0.35">
      <c r="A496" s="28"/>
      <c r="B496" s="28" t="s">
        <v>5338</v>
      </c>
      <c r="C496" s="28"/>
      <c r="D496" s="28"/>
    </row>
    <row r="497" spans="1:4" ht="12.75" customHeight="1" x14ac:dyDescent="0.35">
      <c r="A497" s="28"/>
      <c r="B497" s="28" t="s">
        <v>3307</v>
      </c>
      <c r="C497" s="28"/>
      <c r="D497" s="28"/>
    </row>
    <row r="498" spans="1:4" ht="12.75" customHeight="1" x14ac:dyDescent="0.35">
      <c r="A498" s="28"/>
      <c r="B498" s="28"/>
      <c r="C498" s="28" t="s">
        <v>3307</v>
      </c>
      <c r="D498" s="28"/>
    </row>
    <row r="499" spans="1:4" ht="12.75" customHeight="1" x14ac:dyDescent="0.35">
      <c r="A499" s="28"/>
      <c r="B499" s="28"/>
      <c r="C499" s="28" t="s">
        <v>3308</v>
      </c>
      <c r="D499" s="28"/>
    </row>
    <row r="500" spans="1:4" ht="12.75" customHeight="1" x14ac:dyDescent="0.35">
      <c r="A500" s="28"/>
      <c r="B500" s="28" t="s">
        <v>3309</v>
      </c>
      <c r="C500" s="28"/>
      <c r="D500" s="28"/>
    </row>
    <row r="501" spans="1:4" ht="12.75" customHeight="1" x14ac:dyDescent="0.35">
      <c r="A501" s="28"/>
      <c r="B501" s="28" t="s">
        <v>3310</v>
      </c>
      <c r="C501" s="28"/>
      <c r="D501" s="28"/>
    </row>
    <row r="502" spans="1:4" ht="12.75" customHeight="1" x14ac:dyDescent="0.35">
      <c r="A502" s="28"/>
      <c r="B502" s="28"/>
      <c r="C502" s="28" t="s">
        <v>3311</v>
      </c>
      <c r="D502" s="28"/>
    </row>
    <row r="503" spans="1:4" ht="12.75" customHeight="1" x14ac:dyDescent="0.35">
      <c r="A503" s="28"/>
      <c r="B503" s="28"/>
      <c r="C503" s="28" t="s">
        <v>5108</v>
      </c>
      <c r="D503" s="28"/>
    </row>
    <row r="504" spans="1:4" ht="12.75" customHeight="1" x14ac:dyDescent="0.35">
      <c r="A504" s="28"/>
      <c r="B504" s="28" t="s">
        <v>5565</v>
      </c>
      <c r="C504" s="28"/>
      <c r="D504" s="28"/>
    </row>
    <row r="505" spans="1:4" ht="12.75" customHeight="1" x14ac:dyDescent="0.35">
      <c r="A505" s="28"/>
      <c r="B505" s="28" t="s">
        <v>5563</v>
      </c>
      <c r="C505" s="28"/>
      <c r="D505" s="28"/>
    </row>
    <row r="506" spans="1:4" ht="12.75" customHeight="1" x14ac:dyDescent="0.35">
      <c r="A506" s="28"/>
      <c r="B506" s="28"/>
      <c r="C506" s="28" t="s">
        <v>3312</v>
      </c>
      <c r="D506" s="28"/>
    </row>
    <row r="507" spans="1:4" ht="12.75" customHeight="1" x14ac:dyDescent="0.35">
      <c r="A507" s="28"/>
      <c r="C507" s="28" t="str">
        <f>"Veränderung Rechnungsabgrenzungsposten"&amp;IF(CalculatedDepreciation,", anderen","")</f>
        <v>Veränderung Rechnungsabgrenzungsposten</v>
      </c>
      <c r="D507" s="28"/>
    </row>
    <row r="508" spans="1:4" ht="12.75" customHeight="1" x14ac:dyDescent="0.35">
      <c r="A508" s="28"/>
      <c r="B508" s="28" t="s">
        <v>5103</v>
      </c>
      <c r="C508" s="28"/>
      <c r="D508" s="28"/>
    </row>
    <row r="509" spans="1:4" ht="12.75" customHeight="1" x14ac:dyDescent="0.35">
      <c r="A509" s="28"/>
      <c r="B509" s="105" t="s">
        <v>3313</v>
      </c>
      <c r="C509" s="28"/>
      <c r="D509" s="28"/>
    </row>
    <row r="510" spans="1:4" ht="12.75" customHeight="1" x14ac:dyDescent="0.35">
      <c r="A510" s="28"/>
      <c r="B510" s="28" t="s">
        <v>3314</v>
      </c>
      <c r="C510" s="28"/>
      <c r="D510" s="28"/>
    </row>
    <row r="511" spans="1:4" ht="12.75" customHeight="1" x14ac:dyDescent="0.35">
      <c r="A511" s="28"/>
      <c r="B511" s="28" t="s">
        <v>3315</v>
      </c>
      <c r="C511" s="28"/>
      <c r="D511" s="28"/>
    </row>
    <row r="512" spans="1:4" ht="12.75" customHeight="1" x14ac:dyDescent="0.35">
      <c r="A512" s="28"/>
      <c r="B512" s="28" t="s">
        <v>5551</v>
      </c>
      <c r="C512" s="28"/>
      <c r="D512" s="28"/>
    </row>
    <row r="513" spans="1:4" ht="12.75" customHeight="1" x14ac:dyDescent="0.35">
      <c r="A513" s="28"/>
      <c r="B513" s="28" t="s">
        <v>5553</v>
      </c>
      <c r="C513" s="28"/>
      <c r="D513" s="28"/>
    </row>
    <row r="514" spans="1:4" ht="12.75" customHeight="1" x14ac:dyDescent="0.35">
      <c r="A514" s="28"/>
      <c r="B514" s="28" t="s">
        <v>3316</v>
      </c>
      <c r="C514" s="28"/>
      <c r="D514" s="28"/>
    </row>
    <row r="515" spans="1:4" ht="12.75" customHeight="1" x14ac:dyDescent="0.35">
      <c r="A515" s="28"/>
      <c r="B515" s="28" t="s">
        <v>3317</v>
      </c>
      <c r="C515" s="28"/>
      <c r="D515" s="28"/>
    </row>
    <row r="516" spans="1:4" ht="12.75" customHeight="1" x14ac:dyDescent="0.35">
      <c r="A516" s="28"/>
      <c r="B516" s="28" t="s">
        <v>3318</v>
      </c>
      <c r="C516" s="28"/>
      <c r="D516" s="28"/>
    </row>
    <row r="517" spans="1:4" ht="12.75" customHeight="1" x14ac:dyDescent="0.35">
      <c r="A517" s="28"/>
      <c r="B517" s="28" t="s">
        <v>3319</v>
      </c>
      <c r="C517" s="28"/>
      <c r="D517" s="28"/>
    </row>
    <row r="518" spans="1:4" ht="12.75" customHeight="1" x14ac:dyDescent="0.35">
      <c r="A518" s="28"/>
      <c r="B518" s="28" t="s">
        <v>3320</v>
      </c>
      <c r="C518" s="28"/>
      <c r="D518" s="28"/>
    </row>
    <row r="519" spans="1:4" ht="12.75" customHeight="1" x14ac:dyDescent="0.35">
      <c r="A519" s="28"/>
      <c r="B519" s="28" t="s">
        <v>3321</v>
      </c>
      <c r="C519" s="28"/>
      <c r="D519" s="28"/>
    </row>
    <row r="520" spans="1:4" ht="12.75" customHeight="1" x14ac:dyDescent="0.35">
      <c r="A520" s="28"/>
      <c r="B520" s="28" t="s">
        <v>3322</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3323</v>
      </c>
      <c r="C523" s="28"/>
      <c r="D523" s="28"/>
    </row>
    <row r="524" spans="1:4" ht="12.75" customHeight="1" x14ac:dyDescent="0.35">
      <c r="A524" s="28"/>
      <c r="B524" s="28" t="s">
        <v>3324</v>
      </c>
      <c r="C524" s="28"/>
      <c r="D524" s="28"/>
    </row>
    <row r="525" spans="1:4" ht="12.75" customHeight="1" x14ac:dyDescent="0.35">
      <c r="A525" s="28"/>
      <c r="B525" s="28" t="s">
        <v>3256</v>
      </c>
      <c r="C525" s="28"/>
      <c r="D525" s="28"/>
    </row>
    <row r="526" spans="1:4" ht="12.75" customHeight="1" x14ac:dyDescent="0.35">
      <c r="A526" s="28"/>
      <c r="B526" s="28" t="s">
        <v>3325</v>
      </c>
      <c r="C526" s="28"/>
      <c r="D526" s="28"/>
    </row>
    <row r="527" spans="1:4" ht="12.75" customHeight="1" x14ac:dyDescent="0.35">
      <c r="A527" s="28"/>
      <c r="B527" s="28" t="s">
        <v>3326</v>
      </c>
      <c r="C527" s="28"/>
      <c r="D527" s="28"/>
    </row>
    <row r="528" spans="1:4" ht="12.75" customHeight="1" x14ac:dyDescent="0.35">
      <c r="A528" s="28"/>
      <c r="B528" s="28" t="s">
        <v>3327</v>
      </c>
      <c r="C528" s="28"/>
      <c r="D528" s="28"/>
    </row>
    <row r="529" spans="1:4" ht="12.75" customHeight="1" x14ac:dyDescent="0.35">
      <c r="A529" s="28"/>
      <c r="B529" s="28" t="s">
        <v>3314</v>
      </c>
      <c r="C529" s="28"/>
      <c r="D529" s="28"/>
    </row>
    <row r="530" spans="1:4" ht="12.75" customHeight="1" x14ac:dyDescent="0.35">
      <c r="A530" s="28"/>
      <c r="B530" s="28" t="s">
        <v>3328</v>
      </c>
      <c r="C530" s="28"/>
      <c r="D530" s="28"/>
    </row>
    <row r="531" spans="1:4" ht="12.75" customHeight="1" x14ac:dyDescent="0.35">
      <c r="A531" s="28"/>
      <c r="B531" s="28" t="s">
        <v>3329</v>
      </c>
      <c r="C531" s="28"/>
      <c r="D531" s="28"/>
    </row>
    <row r="532" spans="1:4" ht="12.75" customHeight="1" x14ac:dyDescent="0.35">
      <c r="A532" s="28"/>
      <c r="B532" s="28" t="s">
        <v>3330</v>
      </c>
      <c r="C532" s="28"/>
      <c r="D532" s="28"/>
    </row>
    <row r="533" spans="1:4" ht="12.75" customHeight="1" x14ac:dyDescent="0.35">
      <c r="A533" s="28"/>
      <c r="B533" s="28" t="s">
        <v>3331</v>
      </c>
      <c r="C533" s="28"/>
      <c r="D533" s="28"/>
    </row>
    <row r="534" spans="1:4" ht="12.75" customHeight="1" x14ac:dyDescent="0.35">
      <c r="A534" s="28"/>
      <c r="B534" s="28" t="s">
        <v>3332</v>
      </c>
      <c r="C534" s="28"/>
      <c r="D534" s="28"/>
    </row>
    <row r="535" spans="1:4" ht="12.75" customHeight="1" x14ac:dyDescent="0.35">
      <c r="A535" s="28"/>
      <c r="B535" s="28" t="s">
        <v>3333</v>
      </c>
      <c r="C535" s="28"/>
      <c r="D535" s="28"/>
    </row>
    <row r="536" spans="1:4" ht="12.75" customHeight="1" x14ac:dyDescent="0.35">
      <c r="A536" s="28"/>
      <c r="B536" s="28" t="s">
        <v>3334</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941</v>
      </c>
      <c r="C542" s="28"/>
      <c r="D542" s="28"/>
    </row>
    <row r="543" spans="1:4" ht="12.75" customHeight="1" x14ac:dyDescent="0.35">
      <c r="A543" s="28"/>
      <c r="B543" s="28"/>
      <c r="C543" s="28"/>
      <c r="D543" s="28"/>
    </row>
    <row r="544" spans="1:4" ht="12.75" customHeight="1" x14ac:dyDescent="0.35">
      <c r="A544" s="28"/>
      <c r="B544" s="28" t="s">
        <v>3247</v>
      </c>
      <c r="C544" s="28"/>
      <c r="D544" s="28"/>
    </row>
    <row r="545" spans="1:4" ht="12.75" customHeight="1" x14ac:dyDescent="0.35">
      <c r="A545" s="28"/>
      <c r="B545" s="28" t="s">
        <v>3335</v>
      </c>
      <c r="C545" s="28"/>
      <c r="D545" s="28"/>
    </row>
    <row r="546" spans="1:4" ht="12.75" customHeight="1" x14ac:dyDescent="0.35">
      <c r="A546" s="28"/>
      <c r="B546" s="28"/>
      <c r="C546" s="194" t="s">
        <v>3336</v>
      </c>
      <c r="D546"/>
    </row>
    <row r="547" spans="1:4" ht="12.75" customHeight="1" x14ac:dyDescent="0.35">
      <c r="A547" s="28"/>
      <c r="B547" s="28"/>
      <c r="C547" s="194" t="s">
        <v>3337</v>
      </c>
      <c r="D547"/>
    </row>
    <row r="548" spans="1:4" ht="12.75" customHeight="1" x14ac:dyDescent="0.35">
      <c r="A548" s="28"/>
      <c r="B548" s="28"/>
      <c r="C548" s="194" t="s">
        <v>3338</v>
      </c>
      <c r="D548"/>
    </row>
    <row r="549" spans="1:4" ht="12.75" customHeight="1" x14ac:dyDescent="0.35">
      <c r="A549" s="28"/>
      <c r="B549" s="28"/>
      <c r="C549" s="194" t="s">
        <v>5480</v>
      </c>
      <c r="D549"/>
    </row>
    <row r="550" spans="1:4" ht="12.75" customHeight="1" x14ac:dyDescent="0.35">
      <c r="A550" s="28"/>
      <c r="C550" s="194" t="s">
        <v>3336</v>
      </c>
      <c r="D550"/>
    </row>
    <row r="551" spans="1:4" ht="12.75" customHeight="1" x14ac:dyDescent="0.35">
      <c r="A551" s="28"/>
      <c r="C551" s="194" t="s">
        <v>5469</v>
      </c>
      <c r="D551"/>
    </row>
    <row r="552" spans="1:4" ht="12.75" customHeight="1" x14ac:dyDescent="0.35">
      <c r="A552" s="28"/>
      <c r="C552" s="194" t="s">
        <v>3338</v>
      </c>
      <c r="D552"/>
    </row>
    <row r="553" spans="1:4" ht="12.75" customHeight="1" x14ac:dyDescent="0.35">
      <c r="A553" s="28"/>
      <c r="C553" s="194" t="s">
        <v>5480</v>
      </c>
      <c r="D553"/>
    </row>
    <row r="554" spans="1:4" ht="12.75" customHeight="1" x14ac:dyDescent="0.35">
      <c r="A554" s="28"/>
      <c r="C554" s="194" t="s">
        <v>3336</v>
      </c>
      <c r="D554"/>
    </row>
    <row r="555" spans="1:4" ht="12.75" customHeight="1" x14ac:dyDescent="0.35">
      <c r="A555" s="28"/>
      <c r="B555" s="28"/>
      <c r="C555" s="194" t="s">
        <v>5470</v>
      </c>
      <c r="D555"/>
    </row>
    <row r="556" spans="1:4" ht="12.75" customHeight="1" x14ac:dyDescent="0.35">
      <c r="A556" s="28"/>
      <c r="B556" s="28"/>
      <c r="C556" s="194" t="s">
        <v>3338</v>
      </c>
      <c r="D556"/>
    </row>
    <row r="557" spans="1:4" ht="12.75" customHeight="1" x14ac:dyDescent="0.35">
      <c r="A557" s="28"/>
      <c r="B557" s="28"/>
      <c r="C557" s="194" t="s">
        <v>5480</v>
      </c>
      <c r="D557"/>
    </row>
    <row r="558" spans="1:4" ht="12.75" customHeight="1" x14ac:dyDescent="0.35">
      <c r="A558" s="28"/>
      <c r="B558" s="28"/>
      <c r="C558" s="194" t="s">
        <v>3336</v>
      </c>
      <c r="D558"/>
    </row>
    <row r="559" spans="1:4" ht="12.75" customHeight="1" x14ac:dyDescent="0.35">
      <c r="A559" s="28"/>
      <c r="B559" s="28"/>
      <c r="C559" s="194" t="s">
        <v>5471</v>
      </c>
      <c r="D559"/>
    </row>
    <row r="560" spans="1:4" ht="12.75" customHeight="1" x14ac:dyDescent="0.35">
      <c r="A560" s="28"/>
      <c r="B560" s="28"/>
      <c r="C560" s="194" t="s">
        <v>3338</v>
      </c>
      <c r="D560"/>
    </row>
    <row r="561" spans="1:4" ht="12.75" customHeight="1" x14ac:dyDescent="0.35">
      <c r="A561" s="28"/>
      <c r="B561" s="28"/>
      <c r="C561" s="194" t="s">
        <v>5480</v>
      </c>
      <c r="D561"/>
    </row>
    <row r="562" spans="1:4" ht="12.75" customHeight="1" x14ac:dyDescent="0.35">
      <c r="A562" s="28"/>
      <c r="B562" s="28"/>
      <c r="C562" s="194" t="s">
        <v>3336</v>
      </c>
      <c r="D562"/>
    </row>
    <row r="563" spans="1:4" ht="12.75" customHeight="1" x14ac:dyDescent="0.35">
      <c r="A563" s="28"/>
      <c r="B563" s="28"/>
      <c r="C563" s="194" t="s">
        <v>5472</v>
      </c>
      <c r="D563"/>
    </row>
    <row r="564" spans="1:4" ht="12.75" customHeight="1" x14ac:dyDescent="0.35">
      <c r="A564" s="28"/>
      <c r="B564" s="28"/>
      <c r="C564" s="194" t="s">
        <v>3338</v>
      </c>
      <c r="D564"/>
    </row>
    <row r="565" spans="1:4" ht="12.75" customHeight="1" x14ac:dyDescent="0.35">
      <c r="A565" s="28"/>
      <c r="B565" s="28"/>
      <c r="C565" s="194" t="s">
        <v>5480</v>
      </c>
      <c r="D565"/>
    </row>
    <row r="566" spans="1:4" ht="12.75" customHeight="1" x14ac:dyDescent="0.35">
      <c r="A566" s="28"/>
      <c r="B566" s="28"/>
      <c r="C566" s="1250" t="s">
        <v>5619</v>
      </c>
      <c r="D566"/>
    </row>
    <row r="567" spans="1:4" ht="12.75" customHeight="1" x14ac:dyDescent="0.35">
      <c r="A567" s="28"/>
      <c r="B567" s="28"/>
      <c r="C567" s="1250" t="s">
        <v>5620</v>
      </c>
      <c r="D567"/>
    </row>
    <row r="568" spans="1:4" ht="12.75" customHeight="1" x14ac:dyDescent="0.35">
      <c r="A568" s="28"/>
      <c r="B568" s="28"/>
      <c r="C568" s="28" t="s">
        <v>3339</v>
      </c>
      <c r="D568"/>
    </row>
    <row r="569" spans="1:4" ht="12.75" customHeight="1" x14ac:dyDescent="0.35">
      <c r="A569" s="28"/>
      <c r="B569" s="28"/>
      <c r="C569" s="28" t="s">
        <v>3340</v>
      </c>
      <c r="D569"/>
    </row>
    <row r="570" spans="1:4" ht="12.75" customHeight="1" x14ac:dyDescent="0.35">
      <c r="A570" s="28"/>
      <c r="B570" s="28"/>
      <c r="C570" s="1250" t="s">
        <v>5626</v>
      </c>
      <c r="D570"/>
    </row>
    <row r="571" spans="1:4" ht="12.75" customHeight="1" x14ac:dyDescent="0.35">
      <c r="A571" s="28"/>
      <c r="B571" s="28"/>
      <c r="C571" s="1250" t="s">
        <v>5627</v>
      </c>
      <c r="D571"/>
    </row>
    <row r="572" spans="1:4" ht="12.75" customHeight="1" x14ac:dyDescent="0.35">
      <c r="A572" s="28"/>
      <c r="B572" s="28"/>
      <c r="C572" s="28" t="s">
        <v>3341</v>
      </c>
      <c r="D572"/>
    </row>
    <row r="573" spans="1:4" ht="12.75" customHeight="1" x14ac:dyDescent="0.35">
      <c r="A573" s="28"/>
      <c r="B573" s="28"/>
      <c r="C573" s="28" t="s">
        <v>3342</v>
      </c>
      <c r="D573"/>
    </row>
    <row r="574" spans="1:4" ht="12.75" customHeight="1" x14ac:dyDescent="0.35">
      <c r="A574" s="28"/>
      <c r="B574" s="28"/>
      <c r="C574" s="194" t="s">
        <v>5482</v>
      </c>
      <c r="D574"/>
    </row>
    <row r="575" spans="1:4" ht="12.75" customHeight="1" x14ac:dyDescent="0.35">
      <c r="A575" s="28"/>
      <c r="B575" s="28" t="s">
        <v>3343</v>
      </c>
      <c r="C575" s="28"/>
      <c r="D575"/>
    </row>
    <row r="576" spans="1:4" ht="12.75" customHeight="1" x14ac:dyDescent="0.35">
      <c r="A576" s="28"/>
      <c r="B576" s="28"/>
      <c r="C576" s="28" t="s">
        <v>5477</v>
      </c>
      <c r="D576"/>
    </row>
    <row r="577" spans="1:4" ht="12.75" customHeight="1" x14ac:dyDescent="0.35">
      <c r="A577" s="28"/>
      <c r="B577" s="28"/>
      <c r="C577" s="28" t="s">
        <v>3343</v>
      </c>
      <c r="D577"/>
    </row>
    <row r="578" spans="1:4" ht="12.75" customHeight="1" x14ac:dyDescent="0.35">
      <c r="A578" s="28"/>
      <c r="B578" s="28"/>
      <c r="C578" s="28" t="s">
        <v>5478</v>
      </c>
      <c r="D578"/>
    </row>
    <row r="579" spans="1:4" ht="12.75" customHeight="1" x14ac:dyDescent="0.35">
      <c r="A579" s="28"/>
      <c r="C579" s="194" t="s">
        <v>5480</v>
      </c>
      <c r="D579"/>
    </row>
    <row r="580" spans="1:4" ht="12.75" customHeight="1" x14ac:dyDescent="0.35">
      <c r="A580" s="28"/>
      <c r="B580" s="28"/>
      <c r="C580" s="28" t="s">
        <v>5477</v>
      </c>
      <c r="D580"/>
    </row>
    <row r="581" spans="1:4" ht="12.75" customHeight="1" x14ac:dyDescent="0.35">
      <c r="A581" s="28"/>
      <c r="B581" s="28"/>
      <c r="C581" s="28" t="s">
        <v>5473</v>
      </c>
      <c r="D581"/>
    </row>
    <row r="582" spans="1:4" ht="12.75" customHeight="1" x14ac:dyDescent="0.35">
      <c r="A582" s="28"/>
      <c r="B582" s="28"/>
      <c r="C582" s="28" t="s">
        <v>5478</v>
      </c>
      <c r="D582"/>
    </row>
    <row r="583" spans="1:4" ht="12.75" customHeight="1" x14ac:dyDescent="0.35">
      <c r="A583" s="28"/>
      <c r="C583" s="194" t="s">
        <v>5480</v>
      </c>
      <c r="D583"/>
    </row>
    <row r="584" spans="1:4" ht="12.75" customHeight="1" x14ac:dyDescent="0.35">
      <c r="A584" s="28"/>
      <c r="B584" s="28"/>
      <c r="C584" s="28" t="s">
        <v>5477</v>
      </c>
      <c r="D584"/>
    </row>
    <row r="585" spans="1:4" ht="12.75" customHeight="1" x14ac:dyDescent="0.35">
      <c r="A585" s="28"/>
      <c r="B585" s="28"/>
      <c r="C585" s="28" t="s">
        <v>5474</v>
      </c>
      <c r="D585"/>
    </row>
    <row r="586" spans="1:4" ht="12.75" customHeight="1" x14ac:dyDescent="0.35">
      <c r="A586" s="28"/>
      <c r="B586" s="28"/>
      <c r="C586" s="28" t="s">
        <v>5478</v>
      </c>
      <c r="D586"/>
    </row>
    <row r="587" spans="1:4" ht="12.75" customHeight="1" x14ac:dyDescent="0.35">
      <c r="A587" s="28"/>
      <c r="C587" s="194" t="s">
        <v>5480</v>
      </c>
      <c r="D587"/>
    </row>
    <row r="588" spans="1:4" ht="12.75" customHeight="1" x14ac:dyDescent="0.35">
      <c r="A588" s="28"/>
      <c r="B588" s="28"/>
      <c r="C588" s="28" t="s">
        <v>5477</v>
      </c>
      <c r="D588"/>
    </row>
    <row r="589" spans="1:4" ht="12.75" customHeight="1" x14ac:dyDescent="0.35">
      <c r="A589" s="28"/>
      <c r="B589" s="28"/>
      <c r="C589" s="28" t="s">
        <v>5475</v>
      </c>
      <c r="D589"/>
    </row>
    <row r="590" spans="1:4" ht="12.75" customHeight="1" x14ac:dyDescent="0.35">
      <c r="A590" s="28"/>
      <c r="B590" s="28"/>
      <c r="C590" s="28" t="s">
        <v>5478</v>
      </c>
      <c r="D590"/>
    </row>
    <row r="591" spans="1:4" ht="12.75" customHeight="1" x14ac:dyDescent="0.35">
      <c r="A591" s="28"/>
      <c r="C591" s="194" t="s">
        <v>5480</v>
      </c>
      <c r="D591"/>
    </row>
    <row r="592" spans="1:4" ht="12.75" customHeight="1" x14ac:dyDescent="0.35">
      <c r="A592" s="28"/>
      <c r="B592" s="28"/>
      <c r="C592" s="28" t="s">
        <v>5477</v>
      </c>
      <c r="D592"/>
    </row>
    <row r="593" spans="1:4" ht="12.75" customHeight="1" x14ac:dyDescent="0.35">
      <c r="A593" s="28"/>
      <c r="B593" s="28"/>
      <c r="C593" s="28" t="s">
        <v>5476</v>
      </c>
      <c r="D593"/>
    </row>
    <row r="594" spans="1:4" ht="12.75" customHeight="1" x14ac:dyDescent="0.35">
      <c r="A594" s="28"/>
      <c r="B594" s="28"/>
      <c r="C594" s="28" t="s">
        <v>5478</v>
      </c>
      <c r="D594"/>
    </row>
    <row r="595" spans="1:4" ht="12.75" customHeight="1" x14ac:dyDescent="0.35">
      <c r="A595" s="28"/>
      <c r="C595" s="194" t="s">
        <v>5480</v>
      </c>
      <c r="D595"/>
    </row>
    <row r="596" spans="1:4" ht="12.75" customHeight="1" x14ac:dyDescent="0.35">
      <c r="A596" s="28"/>
      <c r="B596" s="28"/>
      <c r="C596" s="194" t="s">
        <v>5481</v>
      </c>
      <c r="D596"/>
    </row>
    <row r="597" spans="1:4" ht="12.75" customHeight="1" x14ac:dyDescent="0.35">
      <c r="A597" s="28"/>
      <c r="B597" s="28" t="s">
        <v>3344</v>
      </c>
      <c r="C597" s="28"/>
      <c r="D597"/>
    </row>
    <row r="598" spans="1:4" ht="12.75" customHeight="1" x14ac:dyDescent="0.35">
      <c r="A598" s="28"/>
      <c r="B598" s="28"/>
      <c r="C598" s="28" t="s">
        <v>3345</v>
      </c>
      <c r="D598"/>
    </row>
    <row r="599" spans="1:4" ht="12.75" customHeight="1" x14ac:dyDescent="0.35">
      <c r="A599" s="28"/>
      <c r="B599" s="28"/>
      <c r="C599" s="194" t="s">
        <v>3346</v>
      </c>
      <c r="D599"/>
    </row>
    <row r="600" spans="1:4" ht="12.75" customHeight="1" x14ac:dyDescent="0.35">
      <c r="A600" s="28"/>
      <c r="B600" s="28"/>
      <c r="C600" s="28" t="s">
        <v>3347</v>
      </c>
      <c r="D600"/>
    </row>
    <row r="601" spans="1:4" ht="12.75" customHeight="1" x14ac:dyDescent="0.35">
      <c r="A601" s="28"/>
      <c r="B601" s="28"/>
      <c r="C601" s="28" t="s">
        <v>3348</v>
      </c>
      <c r="D601"/>
    </row>
    <row r="602" spans="1:4" ht="12.75" customHeight="1" x14ac:dyDescent="0.35">
      <c r="A602" s="28"/>
      <c r="B602" s="28"/>
      <c r="C602" s="28" t="s">
        <v>3345</v>
      </c>
      <c r="D602"/>
    </row>
    <row r="603" spans="1:4" ht="12.75" customHeight="1" x14ac:dyDescent="0.35">
      <c r="A603" s="28"/>
      <c r="B603" s="28"/>
      <c r="C603" s="194" t="s">
        <v>5427</v>
      </c>
      <c r="D603"/>
    </row>
    <row r="604" spans="1:4" ht="12.75" customHeight="1" x14ac:dyDescent="0.35">
      <c r="A604" s="28"/>
      <c r="B604" s="28"/>
      <c r="C604" s="28" t="s">
        <v>3347</v>
      </c>
      <c r="D604"/>
    </row>
    <row r="605" spans="1:4" ht="12.75" customHeight="1" x14ac:dyDescent="0.35">
      <c r="A605" s="28"/>
      <c r="B605" s="28"/>
      <c r="C605" s="28" t="s">
        <v>3348</v>
      </c>
      <c r="D605"/>
    </row>
    <row r="606" spans="1:4" ht="12.75" customHeight="1" x14ac:dyDescent="0.35">
      <c r="A606" s="28"/>
      <c r="B606" s="28"/>
      <c r="C606" s="28" t="s">
        <v>3345</v>
      </c>
      <c r="D606"/>
    </row>
    <row r="607" spans="1:4" ht="12.75" customHeight="1" x14ac:dyDescent="0.35">
      <c r="A607" s="28"/>
      <c r="B607" s="28"/>
      <c r="C607" s="194" t="s">
        <v>5428</v>
      </c>
      <c r="D607"/>
    </row>
    <row r="608" spans="1:4" ht="12.75" customHeight="1" x14ac:dyDescent="0.35">
      <c r="A608" s="28"/>
      <c r="B608" s="28"/>
      <c r="C608" s="28" t="s">
        <v>3347</v>
      </c>
      <c r="D608"/>
    </row>
    <row r="609" spans="1:4" ht="12.75" customHeight="1" x14ac:dyDescent="0.35">
      <c r="A609" s="28"/>
      <c r="B609" s="28"/>
      <c r="C609" s="28" t="s">
        <v>3348</v>
      </c>
      <c r="D609"/>
    </row>
    <row r="610" spans="1:4" ht="12.75" customHeight="1" x14ac:dyDescent="0.35">
      <c r="A610" s="28"/>
      <c r="B610" s="28"/>
      <c r="C610" s="28" t="s">
        <v>3345</v>
      </c>
      <c r="D610"/>
    </row>
    <row r="611" spans="1:4" ht="12.75" customHeight="1" x14ac:dyDescent="0.35">
      <c r="A611" s="28"/>
      <c r="B611" s="28"/>
      <c r="C611" s="194" t="s">
        <v>5429</v>
      </c>
      <c r="D611"/>
    </row>
    <row r="612" spans="1:4" ht="12.75" customHeight="1" x14ac:dyDescent="0.35">
      <c r="A612" s="28"/>
      <c r="B612" s="28"/>
      <c r="C612" s="28" t="s">
        <v>3347</v>
      </c>
      <c r="D612"/>
    </row>
    <row r="613" spans="1:4" ht="12.75" customHeight="1" x14ac:dyDescent="0.35">
      <c r="A613" s="28"/>
      <c r="B613" s="28"/>
      <c r="C613" s="28" t="s">
        <v>3348</v>
      </c>
      <c r="D613"/>
    </row>
    <row r="614" spans="1:4" ht="12.75" customHeight="1" x14ac:dyDescent="0.35">
      <c r="A614" s="28"/>
      <c r="B614" s="28"/>
      <c r="C614" s="28" t="s">
        <v>3345</v>
      </c>
      <c r="D614"/>
    </row>
    <row r="615" spans="1:4" ht="12.75" customHeight="1" x14ac:dyDescent="0.35">
      <c r="A615" s="28"/>
      <c r="B615" s="28"/>
      <c r="C615" s="194" t="s">
        <v>5430</v>
      </c>
      <c r="D615"/>
    </row>
    <row r="616" spans="1:4" ht="12.75" customHeight="1" x14ac:dyDescent="0.35">
      <c r="A616" s="28"/>
      <c r="B616" s="28"/>
      <c r="C616" s="28" t="s">
        <v>3347</v>
      </c>
      <c r="D616"/>
    </row>
    <row r="617" spans="1:4" ht="12.75" customHeight="1" x14ac:dyDescent="0.35">
      <c r="A617" s="28"/>
      <c r="B617" s="28"/>
      <c r="C617" s="28" t="s">
        <v>3348</v>
      </c>
      <c r="D617"/>
    </row>
    <row r="618" spans="1:4" ht="12.75" customHeight="1" x14ac:dyDescent="0.35">
      <c r="A618" s="28"/>
      <c r="B618" s="28"/>
      <c r="C618" s="1250" t="s">
        <v>5638</v>
      </c>
      <c r="D618"/>
    </row>
    <row r="619" spans="1:4" ht="12.75" customHeight="1" x14ac:dyDescent="0.35">
      <c r="A619" s="28"/>
      <c r="B619" s="28"/>
      <c r="C619" s="1250" t="s">
        <v>5639</v>
      </c>
      <c r="D619"/>
    </row>
    <row r="620" spans="1:4" ht="12.75" customHeight="1" x14ac:dyDescent="0.35">
      <c r="A620" s="28"/>
      <c r="B620" s="28"/>
      <c r="C620" s="28" t="s">
        <v>3349</v>
      </c>
      <c r="D620"/>
    </row>
    <row r="621" spans="1:4" ht="12.75" customHeight="1" x14ac:dyDescent="0.35">
      <c r="A621" s="28"/>
      <c r="B621" s="28"/>
      <c r="C621" s="28" t="s">
        <v>3350</v>
      </c>
      <c r="D621"/>
    </row>
    <row r="622" spans="1:4" ht="12.75" customHeight="1" x14ac:dyDescent="0.35">
      <c r="A622" s="28"/>
      <c r="B622" s="28"/>
      <c r="C622" s="1250" t="s">
        <v>5651</v>
      </c>
      <c r="D622"/>
    </row>
    <row r="623" spans="1:4" ht="12.75" customHeight="1" x14ac:dyDescent="0.35">
      <c r="A623" s="28"/>
      <c r="B623" s="28"/>
      <c r="C623" s="1250" t="s">
        <v>5650</v>
      </c>
      <c r="D623"/>
    </row>
    <row r="624" spans="1:4" ht="12.75" customHeight="1" x14ac:dyDescent="0.35">
      <c r="A624" s="28"/>
      <c r="B624" s="28"/>
      <c r="C624" s="194" t="s">
        <v>5479</v>
      </c>
      <c r="D624"/>
    </row>
    <row r="625" spans="1:4" ht="12.75" customHeight="1" x14ac:dyDescent="0.35">
      <c r="A625" s="28"/>
      <c r="B625" s="28" t="s">
        <v>5515</v>
      </c>
      <c r="C625" s="28"/>
      <c r="D625" s="28"/>
    </row>
    <row r="626" spans="1:4" ht="12.75" customHeight="1" x14ac:dyDescent="0.35">
      <c r="A626" s="28"/>
      <c r="B626" s="28" t="s">
        <v>3351</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3352</v>
      </c>
      <c r="C630" s="28"/>
      <c r="D630" s="28"/>
    </row>
    <row r="631" spans="1:4" ht="12.75" customHeight="1" x14ac:dyDescent="0.35">
      <c r="A631" s="28"/>
      <c r="B631" s="28"/>
      <c r="C631" s="28"/>
      <c r="D631" s="28"/>
    </row>
    <row r="632" spans="1:4" ht="12.75" customHeight="1" x14ac:dyDescent="0.35">
      <c r="A632" s="28"/>
      <c r="B632" s="28" t="s">
        <v>3247</v>
      </c>
      <c r="C632" s="28"/>
      <c r="D632" s="28"/>
    </row>
    <row r="633" spans="1:4" ht="12.75" customHeight="1" x14ac:dyDescent="0.35">
      <c r="A633" s="28"/>
      <c r="B633" s="28" t="s">
        <v>3353</v>
      </c>
      <c r="C633" s="28"/>
      <c r="D633" s="28"/>
    </row>
    <row r="634" spans="1:4" ht="12.75" customHeight="1" x14ac:dyDescent="0.35">
      <c r="A634" s="28"/>
      <c r="B634" s="28"/>
      <c r="C634" s="28" t="s">
        <v>3293</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3294</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3300</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3354</v>
      </c>
      <c r="D667" s="28"/>
    </row>
    <row r="668" spans="1:4" ht="12.75" customHeight="1" x14ac:dyDescent="0.35">
      <c r="A668" s="28"/>
      <c r="B668" s="28"/>
      <c r="C668" s="28"/>
      <c r="D668" s="28"/>
    </row>
    <row r="669" spans="1:4" ht="12.75" customHeight="1" x14ac:dyDescent="0.35">
      <c r="A669" s="28"/>
      <c r="B669" s="28"/>
      <c r="C669" s="28" t="s">
        <v>5516</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3353</v>
      </c>
      <c r="C673" s="28"/>
      <c r="D673" s="28"/>
    </row>
    <row r="674" spans="1:4" ht="12.75" customHeight="1" x14ac:dyDescent="0.35">
      <c r="A674" s="28"/>
      <c r="B674" s="28" t="s">
        <v>3246</v>
      </c>
      <c r="C674" s="28"/>
      <c r="D674" s="28"/>
    </row>
    <row r="675" spans="1:4" ht="12.75" customHeight="1" x14ac:dyDescent="0.35">
      <c r="A675" s="28"/>
      <c r="B675" s="28" t="s">
        <v>3355</v>
      </c>
      <c r="C675" s="28"/>
      <c r="D675" s="28"/>
    </row>
    <row r="676" spans="1:4" ht="12.75" customHeight="1" x14ac:dyDescent="0.35">
      <c r="A676" s="28"/>
      <c r="B676" s="28" t="s">
        <v>3356</v>
      </c>
      <c r="C676" s="28"/>
      <c r="D676" s="28"/>
    </row>
    <row r="677" spans="1:4" ht="12.75" customHeight="1" x14ac:dyDescent="0.35">
      <c r="A677" s="28"/>
      <c r="B677" s="28"/>
      <c r="C677" s="28" t="s">
        <v>3357</v>
      </c>
      <c r="D677" s="28"/>
    </row>
    <row r="678" spans="1:4" ht="12.75" customHeight="1" x14ac:dyDescent="0.35">
      <c r="A678" s="28"/>
      <c r="B678" s="28"/>
      <c r="C678" s="28"/>
      <c r="D678" s="28"/>
    </row>
    <row r="679" spans="1:4" ht="12.75" customHeight="1" x14ac:dyDescent="0.35">
      <c r="A679" s="28"/>
      <c r="B679" s="28"/>
      <c r="C679" s="28" t="s">
        <v>5103</v>
      </c>
      <c r="D679" s="28"/>
    </row>
    <row r="680" spans="1:4" ht="12.75" customHeight="1" x14ac:dyDescent="0.35">
      <c r="A680" s="28"/>
      <c r="B680" s="28" t="str">
        <f>"Free Cash Flow "&amp;IF(FCFEinUse&lt;&gt;1,"(FCF)","zum Unternehmen (FCFF)")</f>
        <v>Free Cash Flow (FCF)</v>
      </c>
      <c r="C680" s="28"/>
      <c r="D680" s="28"/>
    </row>
    <row r="681" spans="1:4" ht="12.75" customHeight="1" x14ac:dyDescent="0.35">
      <c r="A681" s="28"/>
      <c r="B681" s="28" t="str">
        <f>"Diskontierter Free Cash Flow "&amp;IF(FCFEinUse&lt;&gt;1,"(DFCF)","zum Unternehmen (DFCFF)")</f>
        <v>Diskontierter Free Cash Flow (DFCF)</v>
      </c>
      <c r="C681" s="28"/>
      <c r="D681" s="28"/>
    </row>
    <row r="682" spans="1:4" ht="12.75" customHeight="1" x14ac:dyDescent="0.35">
      <c r="A682" s="28"/>
      <c r="B682" s="28" t="str">
        <f>"Kumulierter Diskontierter Free Cash Flow"&amp;IF(FCFEinUse&lt;&gt;1,""," zum Unternehmen")</f>
        <v>Kumulierter Diskontierter Free Cash Flow</v>
      </c>
      <c r="C682" s="28"/>
      <c r="D682" s="28"/>
    </row>
    <row r="683" spans="1:4" ht="12.75" customHeight="1" x14ac:dyDescent="0.35">
      <c r="A683" s="28"/>
      <c r="B683" s="28" t="s">
        <v>3358</v>
      </c>
      <c r="C683" s="28"/>
      <c r="D683" s="28"/>
    </row>
    <row r="684" spans="1:4" ht="12.75" customHeight="1" x14ac:dyDescent="0.35">
      <c r="A684" s="28"/>
      <c r="B684" s="28" t="s">
        <v>1036</v>
      </c>
      <c r="C684" s="28"/>
      <c r="D684" s="28"/>
    </row>
    <row r="685" spans="1:4" ht="12.75" customHeight="1" x14ac:dyDescent="0.35">
      <c r="A685" s="28"/>
      <c r="B685" s="28" t="s">
        <v>3359</v>
      </c>
      <c r="C685" s="28"/>
      <c r="D685" s="28"/>
    </row>
    <row r="686" spans="1:4" ht="12.75" customHeight="1" x14ac:dyDescent="0.35">
      <c r="A686" s="28"/>
      <c r="B686" s="28" t="s">
        <v>3360</v>
      </c>
      <c r="C686" s="28"/>
      <c r="D686" s="28"/>
    </row>
    <row r="687" spans="1:4" ht="12.75" customHeight="1" x14ac:dyDescent="0.35">
      <c r="A687" s="28"/>
      <c r="B687" s="28"/>
      <c r="C687" s="28" t="s">
        <v>3307</v>
      </c>
      <c r="D687" s="28"/>
    </row>
    <row r="688" spans="1:4" ht="12.75" customHeight="1" x14ac:dyDescent="0.35">
      <c r="A688" s="28"/>
      <c r="B688" s="28"/>
      <c r="C688" s="28" t="s">
        <v>3361</v>
      </c>
      <c r="D688" s="28"/>
    </row>
    <row r="689" spans="1:4" ht="12.75" customHeight="1" x14ac:dyDescent="0.35">
      <c r="A689" s="28"/>
      <c r="B689" s="28"/>
      <c r="C689" s="28" t="s">
        <v>3362</v>
      </c>
      <c r="D689" s="28"/>
    </row>
    <row r="690" spans="1:4" ht="12.75" customHeight="1" x14ac:dyDescent="0.35">
      <c r="A690" s="28"/>
      <c r="B690" s="28"/>
      <c r="C690" s="28" t="s">
        <v>3363</v>
      </c>
      <c r="D690" s="28"/>
    </row>
    <row r="691" spans="1:4" ht="12.75" customHeight="1" x14ac:dyDescent="0.35">
      <c r="A691" s="28"/>
      <c r="B691" s="28"/>
      <c r="C691" s="28" t="str">
        <f>C689</f>
        <v>Fremdkapital, Erhöh. (+) / Tilgung (-)</v>
      </c>
      <c r="D691" s="28"/>
    </row>
    <row r="692" spans="1:4" ht="12.75" customHeight="1" x14ac:dyDescent="0.35">
      <c r="A692" s="28"/>
      <c r="B692" s="28"/>
      <c r="C692" s="28" t="s">
        <v>3364</v>
      </c>
      <c r="D692" s="28"/>
    </row>
    <row r="693" spans="1:4" ht="12.75" customHeight="1" x14ac:dyDescent="0.35">
      <c r="A693" s="28"/>
      <c r="B693" s="28"/>
      <c r="C693" s="28" t="s">
        <v>3365</v>
      </c>
      <c r="D693" s="28"/>
    </row>
    <row r="694" spans="1:4" ht="12.75" customHeight="1" x14ac:dyDescent="0.35">
      <c r="A694" s="28"/>
      <c r="B694" s="28"/>
      <c r="C694" s="1250" t="s">
        <v>5656</v>
      </c>
      <c r="D694" s="28"/>
    </row>
    <row r="695" spans="1:4" ht="12.75" customHeight="1" x14ac:dyDescent="0.35">
      <c r="A695" s="28"/>
      <c r="B695" s="28"/>
      <c r="C695" s="28" t="s">
        <v>3366</v>
      </c>
      <c r="D695" s="28"/>
    </row>
    <row r="696" spans="1:4" ht="12.75" customHeight="1" x14ac:dyDescent="0.35">
      <c r="A696" s="28"/>
      <c r="B696" s="28"/>
      <c r="C696" s="28" t="s">
        <v>3367</v>
      </c>
      <c r="D696" s="28"/>
    </row>
    <row r="697" spans="1:4" ht="12.75" customHeight="1" x14ac:dyDescent="0.35">
      <c r="A697" s="28"/>
      <c r="B697" s="97" t="s">
        <v>3368</v>
      </c>
      <c r="D697" s="28"/>
    </row>
    <row r="698" spans="1:4" ht="12.75" customHeight="1" x14ac:dyDescent="0.35">
      <c r="A698" s="28"/>
      <c r="B698" s="97" t="s">
        <v>3369</v>
      </c>
      <c r="D698" s="28"/>
    </row>
    <row r="699" spans="1:4" ht="12.75" customHeight="1" x14ac:dyDescent="0.35">
      <c r="A699" s="28"/>
      <c r="B699" s="97" t="s">
        <v>3370</v>
      </c>
      <c r="D699" s="28"/>
    </row>
    <row r="700" spans="1:4" ht="12.75" customHeight="1" x14ac:dyDescent="0.35">
      <c r="A700" s="28"/>
      <c r="B700" s="97" t="s">
        <v>3371</v>
      </c>
      <c r="D700" s="28"/>
    </row>
    <row r="701" spans="1:4" ht="12.75" customHeight="1" x14ac:dyDescent="0.35">
      <c r="A701" s="28"/>
      <c r="B701" s="28"/>
      <c r="C701" s="28" t="s">
        <v>3372</v>
      </c>
      <c r="D701" s="28"/>
    </row>
    <row r="702" spans="1:4" ht="12.75" customHeight="1" x14ac:dyDescent="0.35">
      <c r="A702" s="28"/>
      <c r="B702" s="28"/>
      <c r="C702" s="28" t="s">
        <v>3373</v>
      </c>
      <c r="D702" s="28"/>
    </row>
    <row r="703" spans="1:4" ht="12.75" customHeight="1" x14ac:dyDescent="0.35">
      <c r="A703" s="28"/>
      <c r="B703" s="28"/>
      <c r="C703" s="28" t="s">
        <v>3374</v>
      </c>
      <c r="D703" s="28"/>
    </row>
    <row r="704" spans="1:4" ht="12.75" customHeight="1" x14ac:dyDescent="0.35">
      <c r="A704" s="28"/>
      <c r="B704" s="28"/>
      <c r="C704" s="28" t="s">
        <v>3375</v>
      </c>
      <c r="D704" s="28"/>
    </row>
    <row r="705" spans="1:4" ht="12.75" customHeight="1" x14ac:dyDescent="0.35">
      <c r="A705" s="28"/>
      <c r="B705" s="28"/>
      <c r="C705" s="28" t="s">
        <v>3376</v>
      </c>
      <c r="D705" s="28"/>
    </row>
    <row r="706" spans="1:4" ht="12.75" customHeight="1" x14ac:dyDescent="0.35">
      <c r="A706" s="28"/>
      <c r="B706" s="28"/>
      <c r="C706" s="105" t="s">
        <v>3377</v>
      </c>
      <c r="D706" s="28"/>
    </row>
    <row r="707" spans="1:4" ht="12.75" customHeight="1" x14ac:dyDescent="0.35">
      <c r="A707" s="28"/>
      <c r="B707" s="28" t="s">
        <v>3378</v>
      </c>
      <c r="C707" s="28"/>
      <c r="D707" s="28"/>
    </row>
    <row r="708" spans="1:4" ht="12.75" customHeight="1" x14ac:dyDescent="0.35">
      <c r="A708" s="28"/>
      <c r="B708" s="28" t="s">
        <v>3379</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3380</v>
      </c>
      <c r="C712" s="28"/>
      <c r="D712" s="28"/>
    </row>
    <row r="713" spans="1:4" ht="12.75" customHeight="1" x14ac:dyDescent="0.35">
      <c r="A713" s="28"/>
      <c r="B713" s="28"/>
      <c r="C713" s="28"/>
      <c r="D713" s="28"/>
    </row>
    <row r="714" spans="1:4" ht="12.75" customHeight="1" x14ac:dyDescent="0.35">
      <c r="A714" s="28"/>
      <c r="B714" s="28" t="s">
        <v>3247</v>
      </c>
      <c r="C714" s="28"/>
      <c r="D714" s="28"/>
    </row>
    <row r="715" spans="1:4" ht="12.75" customHeight="1" x14ac:dyDescent="0.35">
      <c r="A715" s="28"/>
      <c r="B715" s="28" t="s">
        <v>3381</v>
      </c>
      <c r="C715" s="28"/>
      <c r="D715" s="28" t="s">
        <v>3382</v>
      </c>
    </row>
    <row r="716" spans="1:4" ht="12.75" customHeight="1" x14ac:dyDescent="0.35">
      <c r="A716" s="28"/>
      <c r="B716" s="28" t="s">
        <v>3383</v>
      </c>
      <c r="C716" s="28"/>
      <c r="D716" s="28"/>
    </row>
    <row r="717" spans="1:4" ht="12.75" customHeight="1" x14ac:dyDescent="0.35">
      <c r="A717" s="28"/>
      <c r="B717" s="28"/>
      <c r="C717" s="28" t="s">
        <v>3384</v>
      </c>
      <c r="D717" s="28"/>
    </row>
    <row r="718" spans="1:4" ht="12.75" customHeight="1" x14ac:dyDescent="0.35">
      <c r="A718" s="28"/>
      <c r="B718" s="28"/>
      <c r="C718" s="28" t="s">
        <v>3385</v>
      </c>
      <c r="D718" s="28"/>
    </row>
    <row r="719" spans="1:4" ht="12.75" customHeight="1" x14ac:dyDescent="0.35">
      <c r="A719" s="28"/>
      <c r="B719" s="28"/>
      <c r="C719" s="28" t="s">
        <v>3386</v>
      </c>
      <c r="D719" s="28"/>
    </row>
    <row r="720" spans="1:4" ht="12.75" customHeight="1" x14ac:dyDescent="0.35">
      <c r="A720" s="28"/>
      <c r="B720" s="28"/>
      <c r="C720" s="103" t="s">
        <v>3385</v>
      </c>
      <c r="D720" s="28"/>
    </row>
    <row r="721" spans="1:4" ht="12.75" customHeight="1" x14ac:dyDescent="0.35">
      <c r="A721" s="28"/>
      <c r="B721" s="28"/>
      <c r="C721" s="103" t="s">
        <v>3387</v>
      </c>
      <c r="D721" s="28"/>
    </row>
    <row r="722" spans="1:4" ht="12.75" customHeight="1" x14ac:dyDescent="0.35">
      <c r="A722" s="28"/>
      <c r="B722" s="28"/>
      <c r="C722" s="103" t="s">
        <v>3388</v>
      </c>
      <c r="D722" s="28"/>
    </row>
    <row r="723" spans="1:4" ht="12.75" customHeight="1" x14ac:dyDescent="0.35">
      <c r="A723" s="28"/>
      <c r="B723" s="28"/>
      <c r="C723" s="103" t="s">
        <v>3389</v>
      </c>
      <c r="D723" s="28"/>
    </row>
    <row r="724" spans="1:4" ht="12.75" customHeight="1" x14ac:dyDescent="0.35">
      <c r="A724" s="28"/>
      <c r="B724" s="28"/>
      <c r="C724" s="103" t="s">
        <v>3388</v>
      </c>
      <c r="D724" s="28"/>
    </row>
    <row r="725" spans="1:4" ht="12.75" customHeight="1" x14ac:dyDescent="0.35">
      <c r="A725" s="28"/>
      <c r="B725" s="28"/>
      <c r="C725" s="103" t="s">
        <v>3387</v>
      </c>
      <c r="D725" s="28"/>
    </row>
    <row r="726" spans="1:4" ht="12.75" customHeight="1" x14ac:dyDescent="0.35">
      <c r="A726" s="28"/>
      <c r="B726" s="28"/>
      <c r="C726" s="103" t="s">
        <v>3390</v>
      </c>
      <c r="D726" s="28"/>
    </row>
    <row r="727" spans="1:4" ht="12.75" customHeight="1" x14ac:dyDescent="0.35">
      <c r="A727" s="28"/>
      <c r="B727" s="28"/>
      <c r="C727" s="103" t="s">
        <v>3391</v>
      </c>
      <c r="D727" s="28"/>
    </row>
    <row r="728" spans="1:4" ht="12.75" customHeight="1" x14ac:dyDescent="0.35">
      <c r="A728" s="28"/>
      <c r="B728" s="28"/>
      <c r="C728" s="103" t="s">
        <v>3390</v>
      </c>
      <c r="D728" s="28"/>
    </row>
    <row r="729" spans="1:4" ht="12.75" customHeight="1" x14ac:dyDescent="0.35">
      <c r="A729" s="28"/>
      <c r="B729" s="28"/>
      <c r="C729" s="103" t="s">
        <v>3387</v>
      </c>
      <c r="D729" s="28"/>
    </row>
    <row r="730" spans="1:4" ht="12.75" customHeight="1" x14ac:dyDescent="0.35">
      <c r="A730" s="28"/>
      <c r="B730" s="28"/>
      <c r="C730" s="103" t="s">
        <v>3392</v>
      </c>
      <c r="D730" s="28"/>
    </row>
    <row r="731" spans="1:4" ht="12.75" customHeight="1" x14ac:dyDescent="0.35">
      <c r="A731" s="28"/>
      <c r="B731" s="28"/>
      <c r="C731" s="103" t="s">
        <v>3393</v>
      </c>
      <c r="D731" s="28"/>
    </row>
    <row r="732" spans="1:4" ht="12.75" customHeight="1" x14ac:dyDescent="0.35">
      <c r="A732" s="28"/>
      <c r="B732" s="28"/>
      <c r="C732" s="103" t="s">
        <v>3392</v>
      </c>
      <c r="D732" s="28"/>
    </row>
    <row r="733" spans="1:4" ht="12.75" customHeight="1" x14ac:dyDescent="0.35">
      <c r="A733" s="28"/>
      <c r="B733" s="28"/>
      <c r="C733" s="103" t="s">
        <v>3387</v>
      </c>
      <c r="D733" s="28"/>
    </row>
    <row r="734" spans="1:4" ht="12.75" customHeight="1" x14ac:dyDescent="0.35">
      <c r="A734" s="28"/>
      <c r="B734" s="28"/>
      <c r="C734" s="28" t="s">
        <v>3394</v>
      </c>
      <c r="D734" s="28"/>
    </row>
    <row r="735" spans="1:4" ht="12.75" customHeight="1" x14ac:dyDescent="0.35">
      <c r="A735" s="28"/>
      <c r="B735" s="28"/>
      <c r="C735" s="28" t="s">
        <v>3395</v>
      </c>
      <c r="D735" s="28"/>
    </row>
    <row r="736" spans="1:4" ht="12.75" customHeight="1" x14ac:dyDescent="0.35">
      <c r="A736" s="28"/>
      <c r="B736" s="28"/>
      <c r="C736" s="28" t="s">
        <v>3396</v>
      </c>
      <c r="D736" s="28"/>
    </row>
    <row r="737" spans="1:4" ht="12.75" customHeight="1" x14ac:dyDescent="0.35">
      <c r="A737" s="28"/>
      <c r="B737" s="28"/>
      <c r="C737" s="28" t="s">
        <v>3395</v>
      </c>
      <c r="D737" s="28"/>
    </row>
    <row r="738" spans="1:4" ht="12.75" customHeight="1" x14ac:dyDescent="0.35">
      <c r="A738" s="28"/>
      <c r="B738" s="28"/>
      <c r="C738" s="103" t="s">
        <v>3387</v>
      </c>
      <c r="D738" s="28"/>
    </row>
    <row r="739" spans="1:4" ht="12.75" customHeight="1" x14ac:dyDescent="0.35">
      <c r="A739" s="28"/>
      <c r="B739" s="28"/>
      <c r="C739" s="103" t="s">
        <v>3397</v>
      </c>
      <c r="D739" s="28"/>
    </row>
    <row r="740" spans="1:4" ht="12.75" customHeight="1" x14ac:dyDescent="0.35">
      <c r="A740" s="28"/>
      <c r="B740" s="28"/>
      <c r="C740" s="103" t="s">
        <v>3398</v>
      </c>
      <c r="D740" s="28"/>
    </row>
    <row r="741" spans="1:4" ht="12.75" customHeight="1" x14ac:dyDescent="0.35">
      <c r="A741" s="28"/>
      <c r="B741" s="28"/>
      <c r="C741" s="103" t="s">
        <v>3397</v>
      </c>
      <c r="D741" s="28"/>
    </row>
    <row r="742" spans="1:4" ht="12.75" customHeight="1" x14ac:dyDescent="0.35">
      <c r="A742" s="28"/>
      <c r="B742" s="28"/>
      <c r="C742" s="103" t="s">
        <v>3387</v>
      </c>
      <c r="D742" s="28"/>
    </row>
    <row r="743" spans="1:4" ht="12.75" customHeight="1" x14ac:dyDescent="0.35">
      <c r="A743" s="28"/>
      <c r="B743" s="28"/>
      <c r="C743" s="103" t="s">
        <v>3399</v>
      </c>
      <c r="D743" s="28"/>
    </row>
    <row r="744" spans="1:4" ht="12.75" customHeight="1" x14ac:dyDescent="0.35">
      <c r="A744" s="28"/>
      <c r="B744" s="28"/>
      <c r="C744" s="103" t="s">
        <v>3400</v>
      </c>
      <c r="D744" s="28"/>
    </row>
    <row r="745" spans="1:4" ht="12.75" customHeight="1" x14ac:dyDescent="0.35">
      <c r="A745" s="28"/>
      <c r="B745" s="28"/>
      <c r="C745" s="103" t="s">
        <v>3399</v>
      </c>
      <c r="D745" s="28"/>
    </row>
    <row r="746" spans="1:4" ht="12.75" customHeight="1" x14ac:dyDescent="0.35">
      <c r="A746" s="28"/>
      <c r="B746" s="28"/>
      <c r="C746" s="103" t="s">
        <v>3387</v>
      </c>
      <c r="D746" s="28"/>
    </row>
    <row r="747" spans="1:4" ht="12.75" customHeight="1" x14ac:dyDescent="0.35">
      <c r="A747" s="28"/>
      <c r="B747" s="28"/>
      <c r="C747" s="106" t="s">
        <v>3401</v>
      </c>
      <c r="D747" s="28"/>
    </row>
    <row r="748" spans="1:4" ht="12.75" customHeight="1" x14ac:dyDescent="0.35">
      <c r="A748" s="28"/>
      <c r="B748" s="28"/>
      <c r="C748" s="106" t="s">
        <v>3402</v>
      </c>
      <c r="D748" s="28"/>
    </row>
    <row r="749" spans="1:4" ht="12.75" customHeight="1" x14ac:dyDescent="0.35">
      <c r="A749" s="28"/>
      <c r="B749" s="28"/>
      <c r="C749" s="106" t="s">
        <v>3401</v>
      </c>
      <c r="D749" s="28"/>
    </row>
    <row r="750" spans="1:4" ht="12.75" customHeight="1" x14ac:dyDescent="0.35">
      <c r="A750" s="28"/>
      <c r="B750" s="28"/>
      <c r="C750" s="106" t="s">
        <v>3387</v>
      </c>
      <c r="D750" s="28"/>
    </row>
    <row r="751" spans="1:4" ht="12.75" customHeight="1" x14ac:dyDescent="0.35">
      <c r="A751" s="28"/>
      <c r="B751" s="28"/>
      <c r="C751" s="103" t="s">
        <v>3403</v>
      </c>
      <c r="D751" s="28"/>
    </row>
    <row r="752" spans="1:4" ht="12.75" customHeight="1" x14ac:dyDescent="0.35">
      <c r="A752" s="28"/>
      <c r="B752" s="28"/>
      <c r="C752" s="103" t="s">
        <v>3404</v>
      </c>
      <c r="D752" s="28"/>
    </row>
    <row r="753" spans="1:4" ht="12.75" customHeight="1" x14ac:dyDescent="0.35">
      <c r="A753" s="28"/>
      <c r="B753" s="28"/>
      <c r="C753" s="103" t="s">
        <v>3403</v>
      </c>
      <c r="D753" s="28"/>
    </row>
    <row r="754" spans="1:4" ht="12.75" customHeight="1" x14ac:dyDescent="0.35">
      <c r="A754" s="28"/>
      <c r="B754" s="28"/>
      <c r="C754" s="103" t="s">
        <v>3387</v>
      </c>
      <c r="D754" s="28"/>
    </row>
    <row r="755" spans="1:4" ht="12.75" customHeight="1" x14ac:dyDescent="0.35">
      <c r="A755" s="28"/>
      <c r="B755" s="28"/>
      <c r="C755" s="28" t="s">
        <v>3405</v>
      </c>
      <c r="D755" s="28"/>
    </row>
    <row r="756" spans="1:4" ht="12.75" customHeight="1" x14ac:dyDescent="0.35">
      <c r="A756" s="28"/>
      <c r="B756" s="28"/>
      <c r="C756" s="28" t="s">
        <v>3406</v>
      </c>
      <c r="D756" s="28"/>
    </row>
    <row r="757" spans="1:4" ht="12.75" customHeight="1" x14ac:dyDescent="0.35">
      <c r="A757" s="28"/>
      <c r="B757" s="28"/>
      <c r="C757" s="28" t="s">
        <v>3407</v>
      </c>
      <c r="D757" s="28"/>
    </row>
    <row r="758" spans="1:4" ht="12.75" customHeight="1" x14ac:dyDescent="0.35">
      <c r="A758" s="28"/>
      <c r="B758" s="28"/>
      <c r="C758" s="28" t="s">
        <v>3406</v>
      </c>
      <c r="D758" s="28"/>
    </row>
    <row r="759" spans="1:4" ht="12.75" customHeight="1" x14ac:dyDescent="0.35">
      <c r="A759" s="28"/>
      <c r="B759" s="28"/>
      <c r="C759" s="103" t="s">
        <v>3387</v>
      </c>
      <c r="D759" s="28"/>
    </row>
    <row r="760" spans="1:4" ht="12.75" customHeight="1" x14ac:dyDescent="0.35">
      <c r="A760" s="28"/>
      <c r="B760" s="28"/>
      <c r="C760" s="28" t="s">
        <v>3408</v>
      </c>
      <c r="D760" s="28"/>
    </row>
    <row r="761" spans="1:4" ht="12.75" customHeight="1" x14ac:dyDescent="0.35">
      <c r="A761" s="28"/>
      <c r="B761" s="28"/>
      <c r="C761" s="28" t="s">
        <v>3409</v>
      </c>
      <c r="D761" s="28"/>
    </row>
    <row r="762" spans="1:4" ht="12.75" customHeight="1" x14ac:dyDescent="0.35">
      <c r="A762" s="28"/>
      <c r="B762" s="28"/>
      <c r="C762" s="28" t="s">
        <v>3408</v>
      </c>
      <c r="D762" s="28"/>
    </row>
    <row r="763" spans="1:4" ht="12.75" customHeight="1" x14ac:dyDescent="0.35">
      <c r="A763" s="28"/>
      <c r="B763" s="28"/>
      <c r="C763" s="103" t="s">
        <v>3387</v>
      </c>
      <c r="D763" s="28"/>
    </row>
    <row r="764" spans="1:4" ht="12.75" customHeight="1" x14ac:dyDescent="0.35">
      <c r="A764" s="28"/>
      <c r="B764" s="28"/>
      <c r="C764" s="28" t="s">
        <v>3410</v>
      </c>
      <c r="D764" s="28"/>
    </row>
    <row r="765" spans="1:4" ht="12.75" customHeight="1" x14ac:dyDescent="0.35">
      <c r="A765" s="28"/>
      <c r="B765" s="28"/>
      <c r="C765" s="28" t="s">
        <v>3411</v>
      </c>
      <c r="D765" s="28"/>
    </row>
    <row r="766" spans="1:4" ht="12.75" customHeight="1" x14ac:dyDescent="0.35">
      <c r="A766" s="28"/>
      <c r="B766" s="28"/>
      <c r="C766" s="28" t="s">
        <v>3410</v>
      </c>
      <c r="D766" s="28"/>
    </row>
    <row r="767" spans="1:4" ht="12.75" customHeight="1" x14ac:dyDescent="0.35">
      <c r="A767" s="28"/>
      <c r="B767" s="28"/>
      <c r="C767" s="103" t="s">
        <v>3387</v>
      </c>
      <c r="D767" s="28"/>
    </row>
    <row r="768" spans="1:4" ht="12.75" customHeight="1" x14ac:dyDescent="0.35">
      <c r="A768" s="28"/>
      <c r="B768" s="28"/>
      <c r="C768" s="28" t="s">
        <v>3412</v>
      </c>
      <c r="D768" s="28"/>
    </row>
    <row r="769" spans="1:4" ht="12.75" customHeight="1" x14ac:dyDescent="0.35">
      <c r="A769" s="28"/>
      <c r="B769" s="28"/>
      <c r="C769" s="28" t="s">
        <v>3413</v>
      </c>
      <c r="D769" s="28"/>
    </row>
    <row r="770" spans="1:4" ht="12.75" customHeight="1" x14ac:dyDescent="0.35">
      <c r="A770" s="28"/>
      <c r="B770" s="28"/>
      <c r="C770" s="28" t="s">
        <v>3412</v>
      </c>
      <c r="D770" s="28"/>
    </row>
    <row r="771" spans="1:4" ht="12.75" customHeight="1" x14ac:dyDescent="0.35">
      <c r="A771" s="28"/>
      <c r="B771" s="28"/>
      <c r="C771" s="103" t="s">
        <v>3387</v>
      </c>
      <c r="D771" s="28"/>
    </row>
    <row r="772" spans="1:4" ht="12.75" customHeight="1" x14ac:dyDescent="0.35">
      <c r="A772" s="28"/>
      <c r="B772" s="28"/>
      <c r="C772" s="28" t="s">
        <v>3414</v>
      </c>
      <c r="D772" s="28"/>
    </row>
    <row r="773" spans="1:4" ht="12.75" customHeight="1" x14ac:dyDescent="0.35">
      <c r="A773" s="28"/>
      <c r="B773" s="28" t="s">
        <v>3415</v>
      </c>
      <c r="C773" s="28"/>
      <c r="D773" s="28"/>
    </row>
    <row r="774" spans="1:4" ht="12.75" customHeight="1" x14ac:dyDescent="0.35">
      <c r="A774" s="28"/>
      <c r="B774" s="28"/>
      <c r="C774" s="28" t="s">
        <v>3343</v>
      </c>
      <c r="D774" s="28"/>
    </row>
    <row r="775" spans="1:4" ht="12.75" customHeight="1" x14ac:dyDescent="0.35">
      <c r="A775" s="28"/>
      <c r="B775" s="28"/>
      <c r="C775" s="28" t="s">
        <v>3337</v>
      </c>
      <c r="D775" s="28"/>
    </row>
    <row r="776" spans="1:4" ht="12.75" customHeight="1" x14ac:dyDescent="0.35">
      <c r="A776" s="28"/>
      <c r="B776" s="28"/>
      <c r="C776" s="1250" t="s">
        <v>5619</v>
      </c>
      <c r="D776" s="28"/>
    </row>
    <row r="777" spans="1:4" ht="12.75" customHeight="1" x14ac:dyDescent="0.35">
      <c r="A777" s="28"/>
      <c r="B777" s="28"/>
      <c r="C777" s="28" t="s">
        <v>3339</v>
      </c>
      <c r="D777" s="28"/>
    </row>
    <row r="778" spans="1:4" ht="12.75" customHeight="1" x14ac:dyDescent="0.35">
      <c r="A778" s="28"/>
      <c r="B778" s="28"/>
      <c r="C778" s="1250" t="s">
        <v>5626</v>
      </c>
      <c r="D778" s="28"/>
    </row>
    <row r="779" spans="1:4" ht="12.75" customHeight="1" x14ac:dyDescent="0.35">
      <c r="A779" s="28"/>
      <c r="B779" s="28"/>
      <c r="C779" s="28" t="s">
        <v>3416</v>
      </c>
      <c r="D779" s="28"/>
    </row>
    <row r="780" spans="1:4" ht="12.75" customHeight="1" x14ac:dyDescent="0.35">
      <c r="A780" s="28"/>
      <c r="B780" s="28"/>
      <c r="C780" s="28" t="s">
        <v>3417</v>
      </c>
      <c r="D780" s="28"/>
    </row>
    <row r="781" spans="1:4" ht="12.75" customHeight="1" x14ac:dyDescent="0.35">
      <c r="A781" s="28"/>
      <c r="B781" s="28" t="s">
        <v>3381</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3418</v>
      </c>
      <c r="C794" s="28"/>
      <c r="D794" s="28"/>
    </row>
    <row r="795" spans="1:4" ht="12.75" customHeight="1" x14ac:dyDescent="0.35">
      <c r="A795" s="28"/>
      <c r="B795" s="28" t="s">
        <v>3419</v>
      </c>
      <c r="C795" s="28"/>
      <c r="D795" s="28"/>
    </row>
    <row r="796" spans="1:4" ht="12.75" customHeight="1" x14ac:dyDescent="0.35">
      <c r="A796" s="28"/>
      <c r="B796" s="28" t="s">
        <v>3420</v>
      </c>
      <c r="C796" s="28"/>
      <c r="D796" s="28"/>
    </row>
    <row r="797" spans="1:4" ht="12.75" customHeight="1" x14ac:dyDescent="0.35">
      <c r="A797" s="28"/>
      <c r="B797" s="28"/>
      <c r="C797" s="28"/>
      <c r="D797" s="28"/>
    </row>
    <row r="798" spans="1:4" ht="12.75" customHeight="1" x14ac:dyDescent="0.35">
      <c r="A798" s="28"/>
      <c r="B798" s="28" t="s">
        <v>3421</v>
      </c>
      <c r="C798" s="28"/>
      <c r="D798" s="28"/>
    </row>
    <row r="799" spans="1:4" ht="12.75" customHeight="1" x14ac:dyDescent="0.35">
      <c r="A799" s="28"/>
      <c r="B799" s="28" t="s">
        <v>3287</v>
      </c>
      <c r="C799" s="28"/>
      <c r="D799" s="28"/>
    </row>
    <row r="800" spans="1:4" ht="12.75" customHeight="1" x14ac:dyDescent="0.35">
      <c r="A800" s="28"/>
      <c r="B800" s="28"/>
      <c r="C800" s="28" t="s">
        <v>3268</v>
      </c>
      <c r="D800" s="28"/>
    </row>
    <row r="801" spans="1:4" ht="12.75" customHeight="1" x14ac:dyDescent="0.35">
      <c r="A801" s="28"/>
      <c r="B801" s="28"/>
      <c r="C801" s="28" t="s">
        <v>3422</v>
      </c>
      <c r="D801" s="28"/>
    </row>
    <row r="802" spans="1:4" ht="12.75" customHeight="1" x14ac:dyDescent="0.35">
      <c r="A802" s="28"/>
      <c r="B802" s="28"/>
      <c r="C802" s="28" t="s">
        <v>3423</v>
      </c>
      <c r="D802" s="28"/>
    </row>
    <row r="803" spans="1:4" ht="12.75" customHeight="1" x14ac:dyDescent="0.35">
      <c r="A803" s="28"/>
      <c r="B803" s="28"/>
      <c r="C803" s="28" t="s">
        <v>3271</v>
      </c>
      <c r="D803" s="28"/>
    </row>
    <row r="804" spans="1:4" ht="12.75" customHeight="1" x14ac:dyDescent="0.35">
      <c r="A804" s="28"/>
      <c r="B804" s="28"/>
      <c r="C804" s="28" t="s">
        <v>3272</v>
      </c>
      <c r="D804" s="28"/>
    </row>
    <row r="805" spans="1:4" ht="12.75" customHeight="1" x14ac:dyDescent="0.35">
      <c r="A805" s="28"/>
      <c r="B805" s="28"/>
      <c r="C805" s="28" t="s">
        <v>3424</v>
      </c>
      <c r="D805" s="28"/>
    </row>
    <row r="806" spans="1:4" ht="12.75" customHeight="1" x14ac:dyDescent="0.35">
      <c r="A806" s="28"/>
      <c r="B806" s="97" t="s">
        <v>5564</v>
      </c>
      <c r="D806" s="28"/>
    </row>
    <row r="807" spans="1:4" ht="12.75" customHeight="1" x14ac:dyDescent="0.35">
      <c r="A807" s="28"/>
      <c r="B807" s="28" t="s">
        <v>3425</v>
      </c>
      <c r="C807" s="28"/>
      <c r="D807" s="28"/>
    </row>
    <row r="808" spans="1:4" ht="12.75" customHeight="1" x14ac:dyDescent="0.35">
      <c r="A808" s="28"/>
      <c r="B808" s="28" t="s">
        <v>3426</v>
      </c>
      <c r="C808" s="28"/>
    </row>
    <row r="809" spans="1:4" ht="12.75" customHeight="1" x14ac:dyDescent="0.35">
      <c r="A809" s="28"/>
      <c r="B809" s="28" t="s">
        <v>3344</v>
      </c>
      <c r="C809" s="28"/>
    </row>
    <row r="810" spans="1:4" ht="12.75" customHeight="1" x14ac:dyDescent="0.35">
      <c r="A810" s="28"/>
      <c r="B810" s="28"/>
      <c r="C810" s="28" t="s">
        <v>3427</v>
      </c>
      <c r="D810" s="28"/>
    </row>
    <row r="811" spans="1:4" ht="12.75" customHeight="1" x14ac:dyDescent="0.35">
      <c r="A811" s="28"/>
      <c r="B811" s="28"/>
      <c r="C811" s="28" t="s">
        <v>3428</v>
      </c>
      <c r="D811" s="28"/>
    </row>
    <row r="812" spans="1:4" ht="12.75" customHeight="1" x14ac:dyDescent="0.35">
      <c r="A812" s="28"/>
      <c r="B812" s="28"/>
      <c r="C812" s="1250" t="s">
        <v>5663</v>
      </c>
      <c r="D812" s="28"/>
    </row>
    <row r="813" spans="1:4" ht="12.75" customHeight="1" x14ac:dyDescent="0.35">
      <c r="A813" s="28"/>
      <c r="B813" s="28"/>
      <c r="C813" s="28" t="s">
        <v>3429</v>
      </c>
      <c r="D813" s="28"/>
    </row>
    <row r="814" spans="1:4" ht="12.75" customHeight="1" x14ac:dyDescent="0.35">
      <c r="A814" s="28"/>
      <c r="B814" s="28"/>
      <c r="C814" s="101" t="s">
        <v>3430</v>
      </c>
      <c r="D814" s="28"/>
    </row>
    <row r="815" spans="1:4" ht="12.75" customHeight="1" x14ac:dyDescent="0.35">
      <c r="A815" s="28"/>
      <c r="B815" s="28"/>
      <c r="C815" s="28" t="s">
        <v>3246</v>
      </c>
      <c r="D815" s="28"/>
    </row>
    <row r="816" spans="1:4" ht="12.75" customHeight="1" x14ac:dyDescent="0.35">
      <c r="A816" s="28"/>
      <c r="B816" s="28"/>
      <c r="C816" s="28" t="s">
        <v>3431</v>
      </c>
      <c r="D816" s="28"/>
    </row>
    <row r="817" spans="1:4" ht="12.75" customHeight="1" x14ac:dyDescent="0.35">
      <c r="A817" s="28"/>
      <c r="B817" s="28"/>
      <c r="C817" s="28" t="s">
        <v>3432</v>
      </c>
      <c r="D817" s="28"/>
    </row>
    <row r="818" spans="1:4" ht="12.75" customHeight="1" x14ac:dyDescent="0.35">
      <c r="A818" s="28"/>
      <c r="B818" s="28"/>
      <c r="C818" s="28" t="s">
        <v>3433</v>
      </c>
      <c r="D818" s="28"/>
    </row>
    <row r="819" spans="1:4" ht="12.75" customHeight="1" x14ac:dyDescent="0.35">
      <c r="A819" s="28"/>
      <c r="B819" s="28"/>
      <c r="C819" s="28" t="s">
        <v>3434</v>
      </c>
      <c r="D819" s="28"/>
    </row>
    <row r="820" spans="1:4" ht="12.75" customHeight="1" x14ac:dyDescent="0.35">
      <c r="A820" s="28"/>
      <c r="B820" s="28"/>
      <c r="C820" s="28" t="s">
        <v>3435</v>
      </c>
      <c r="D820" s="28"/>
    </row>
    <row r="821" spans="1:4" ht="12.75" customHeight="1" x14ac:dyDescent="0.35">
      <c r="A821" s="28"/>
      <c r="B821" s="28"/>
      <c r="C821" s="28" t="s">
        <v>3436</v>
      </c>
      <c r="D821" s="28"/>
    </row>
    <row r="822" spans="1:4" ht="12.75" customHeight="1" x14ac:dyDescent="0.35">
      <c r="A822" s="28"/>
      <c r="B822" s="28"/>
      <c r="C822" s="1250" t="s">
        <v>5665</v>
      </c>
      <c r="D822" s="28"/>
    </row>
    <row r="823" spans="1:4" ht="12.75" customHeight="1" x14ac:dyDescent="0.35">
      <c r="A823" s="28"/>
      <c r="B823" s="28"/>
      <c r="C823" s="28" t="s">
        <v>3349</v>
      </c>
      <c r="D823" s="28"/>
    </row>
    <row r="824" spans="1:4" ht="12.75" customHeight="1" x14ac:dyDescent="0.35">
      <c r="A824" s="28"/>
      <c r="B824" s="28"/>
      <c r="C824" s="1250" t="s">
        <v>5669</v>
      </c>
      <c r="D824" s="28"/>
    </row>
    <row r="825" spans="1:4" ht="12.75" customHeight="1" x14ac:dyDescent="0.35">
      <c r="A825" s="28"/>
      <c r="B825" s="28"/>
      <c r="C825" s="28" t="s">
        <v>3437</v>
      </c>
      <c r="D825" s="28"/>
    </row>
    <row r="826" spans="1:4" ht="12.75" customHeight="1" x14ac:dyDescent="0.35">
      <c r="A826" s="28"/>
      <c r="B826" s="28"/>
      <c r="C826" s="28" t="s">
        <v>3438</v>
      </c>
      <c r="D826" s="28"/>
    </row>
    <row r="827" spans="1:4" ht="12.75" customHeight="1" x14ac:dyDescent="0.35">
      <c r="A827" s="28"/>
      <c r="B827" s="28"/>
      <c r="C827" s="28" t="s">
        <v>3439</v>
      </c>
      <c r="D827" s="28"/>
    </row>
    <row r="828" spans="1:4" ht="12.75" customHeight="1" x14ac:dyDescent="0.35">
      <c r="A828" s="28"/>
      <c r="B828" s="28" t="s">
        <v>3421</v>
      </c>
      <c r="C828" s="28"/>
      <c r="D828" s="28"/>
    </row>
    <row r="829" spans="1:4" ht="12.75" customHeight="1" x14ac:dyDescent="0.35">
      <c r="A829" s="28"/>
      <c r="B829" s="28" t="s">
        <v>3440</v>
      </c>
      <c r="C829" s="28"/>
      <c r="D829" s="28"/>
    </row>
    <row r="830" spans="1:4" ht="12.75" customHeight="1" x14ac:dyDescent="0.35">
      <c r="A830" s="28"/>
      <c r="B830" s="28" t="s">
        <v>3285</v>
      </c>
      <c r="C830" s="28"/>
      <c r="D830" s="28"/>
    </row>
    <row r="831" spans="1:4" ht="12.75" customHeight="1" x14ac:dyDescent="0.35">
      <c r="A831" s="28"/>
      <c r="B831" s="28" t="s">
        <v>3314</v>
      </c>
      <c r="C831" s="28"/>
      <c r="D831" s="28"/>
    </row>
    <row r="832" spans="1:4" ht="12.75" customHeight="1" x14ac:dyDescent="0.35">
      <c r="A832" s="28"/>
      <c r="B832" s="28" t="s">
        <v>3275</v>
      </c>
      <c r="C832" s="28"/>
      <c r="D832" s="28"/>
    </row>
    <row r="833" spans="1:4" ht="12.75" customHeight="1" x14ac:dyDescent="0.35">
      <c r="A833" s="28"/>
      <c r="B833" s="28" t="s">
        <v>3288</v>
      </c>
      <c r="C833" s="28"/>
      <c r="D833" s="28"/>
    </row>
    <row r="834" spans="1:4" ht="12.75" customHeight="1" x14ac:dyDescent="0.35">
      <c r="A834" s="28"/>
      <c r="B834" s="28" t="s">
        <v>3432</v>
      </c>
      <c r="C834" s="28"/>
      <c r="D834" s="28"/>
    </row>
    <row r="835" spans="1:4" ht="12.75" customHeight="1" x14ac:dyDescent="0.35">
      <c r="A835" s="28"/>
      <c r="B835" s="28" t="s">
        <v>3441</v>
      </c>
      <c r="C835" s="28"/>
      <c r="D835" s="28"/>
    </row>
    <row r="836" spans="1:4" ht="12.75" customHeight="1" x14ac:dyDescent="0.35">
      <c r="A836" s="28"/>
      <c r="B836" s="28" t="s">
        <v>3442</v>
      </c>
      <c r="C836" s="28"/>
      <c r="D836" s="28"/>
    </row>
    <row r="837" spans="1:4" ht="12.75" customHeight="1" x14ac:dyDescent="0.35">
      <c r="A837" s="28"/>
      <c r="B837" s="28"/>
      <c r="C837" s="28"/>
      <c r="D837" s="28"/>
    </row>
    <row r="838" spans="1:4" ht="12.75" customHeight="1" x14ac:dyDescent="0.35">
      <c r="A838" s="28"/>
      <c r="B838" s="28" t="s">
        <v>3443</v>
      </c>
      <c r="C838" s="28"/>
      <c r="D838" s="28"/>
    </row>
    <row r="839" spans="1:4" ht="12.75" customHeight="1" x14ac:dyDescent="0.35">
      <c r="A839" s="28"/>
      <c r="B839" s="107" t="s">
        <v>3444</v>
      </c>
      <c r="C839" s="28"/>
      <c r="D839" s="28"/>
    </row>
    <row r="840" spans="1:4" ht="12.75" customHeight="1" x14ac:dyDescent="0.35">
      <c r="A840" s="28"/>
      <c r="B840" s="6" t="s">
        <v>3359</v>
      </c>
      <c r="C840" s="28"/>
      <c r="D840" s="28"/>
    </row>
    <row r="841" spans="1:4" ht="12.75" customHeight="1" x14ac:dyDescent="0.35">
      <c r="A841" s="28"/>
      <c r="B841" s="28" t="s">
        <v>3445</v>
      </c>
      <c r="C841" s="28"/>
      <c r="D841" s="28"/>
    </row>
    <row r="842" spans="1:4" ht="12.75" customHeight="1" x14ac:dyDescent="0.35"/>
    <row r="843" spans="1:4" ht="12.75" customHeight="1" x14ac:dyDescent="0.35"/>
    <row r="844" spans="1:4" ht="12.75" customHeight="1" x14ac:dyDescent="0.35"/>
    <row r="845" spans="1:4" ht="12.75" customHeight="1" x14ac:dyDescent="0.35">
      <c r="B845" s="97" t="s">
        <v>3446</v>
      </c>
    </row>
    <row r="846" spans="1:4" ht="12.75" customHeight="1" x14ac:dyDescent="0.35"/>
    <row r="847" spans="1:4" ht="12.75" customHeight="1" x14ac:dyDescent="0.35">
      <c r="B847" s="28" t="s">
        <v>3247</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pageSetUpPr autoPageBreaks="0" fitToPage="1"/>
  </sheetPr>
  <dimension ref="A1:D847"/>
  <sheetViews>
    <sheetView topLeftCell="A409" workbookViewId="0">
      <selection activeCell="I443" sqref="I443"/>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2:2" ht="12.75" customHeight="1" x14ac:dyDescent="0.35">
      <c r="B1" s="97" t="s">
        <v>3447</v>
      </c>
    </row>
    <row r="2" spans="2:2" ht="12.75" customHeight="1" x14ac:dyDescent="0.35">
      <c r="B2" s="97" t="s">
        <v>3448</v>
      </c>
    </row>
    <row r="3" spans="2:2" ht="12.75" customHeight="1" x14ac:dyDescent="0.35">
      <c r="B3" s="97" t="s">
        <v>3449</v>
      </c>
    </row>
    <row r="4" spans="2:2" ht="12.75" customHeight="1" x14ac:dyDescent="0.35">
      <c r="B4" s="97" t="s">
        <v>3450</v>
      </c>
    </row>
    <row r="5" spans="2:2" ht="12.75" customHeight="1" x14ac:dyDescent="0.35">
      <c r="B5" s="97" t="s">
        <v>3451</v>
      </c>
    </row>
    <row r="6" spans="2:2" ht="12.75" customHeight="1" x14ac:dyDescent="0.35">
      <c r="B6" s="97" t="s">
        <v>3452</v>
      </c>
    </row>
    <row r="7" spans="2:2" ht="12.75" customHeight="1" x14ac:dyDescent="0.35"/>
    <row r="8" spans="2:2" ht="12.75" customHeight="1" x14ac:dyDescent="0.35"/>
    <row r="9" spans="2:2" ht="12.75" customHeight="1" x14ac:dyDescent="0.35"/>
    <row r="10" spans="2:2" ht="12.75" customHeight="1" x14ac:dyDescent="0.35"/>
    <row r="11" spans="2:2" ht="12.75" customHeight="1" x14ac:dyDescent="0.35">
      <c r="B11" s="97" t="s">
        <v>3453</v>
      </c>
    </row>
    <row r="12" spans="2:2" ht="12.75" customHeight="1" x14ac:dyDescent="0.35">
      <c r="B12" s="97" t="s">
        <v>3454</v>
      </c>
    </row>
    <row r="13" spans="2:2" ht="12.75" customHeight="1" x14ac:dyDescent="0.35">
      <c r="B13" s="97" t="s">
        <v>3455</v>
      </c>
    </row>
    <row r="14" spans="2:2" ht="12.75" customHeight="1" x14ac:dyDescent="0.35"/>
    <row r="15" spans="2:2" ht="12.75" customHeight="1" x14ac:dyDescent="0.35">
      <c r="B15" s="97" t="s">
        <v>3456</v>
      </c>
    </row>
    <row r="16" spans="2:2" ht="12.75" customHeight="1" x14ac:dyDescent="0.35"/>
    <row r="17" spans="2:4" ht="12.75" customHeight="1" x14ac:dyDescent="0.35">
      <c r="B17" s="97" t="s">
        <v>3454</v>
      </c>
      <c r="D17" s="97" t="s">
        <v>3458</v>
      </c>
    </row>
    <row r="18" spans="2:4" ht="12.75" customHeight="1" x14ac:dyDescent="0.35"/>
    <row r="19" spans="2:4" ht="12.75" customHeight="1" x14ac:dyDescent="0.35">
      <c r="C19" s="1332" t="s">
        <v>6330</v>
      </c>
    </row>
    <row r="20" spans="2:4" ht="12.75" customHeight="1" x14ac:dyDescent="0.35">
      <c r="B20" s="97" t="s">
        <v>6250</v>
      </c>
    </row>
    <row r="21" spans="2:4" ht="12.75" customHeight="1" x14ac:dyDescent="0.35">
      <c r="C21" s="97" t="s">
        <v>3460</v>
      </c>
    </row>
    <row r="22" spans="2:4" ht="12.75" customHeight="1" x14ac:dyDescent="0.35"/>
    <row r="23" spans="2:4" ht="12.75" customHeight="1" x14ac:dyDescent="0.35"/>
    <row r="24" spans="2:4" ht="12.75" customHeight="1" x14ac:dyDescent="0.35">
      <c r="B24" s="97" t="s">
        <v>3459</v>
      </c>
    </row>
    <row r="25" spans="2:4" ht="12.75" customHeight="1" x14ac:dyDescent="0.35">
      <c r="B25" s="104"/>
      <c r="C25" s="97" t="s">
        <v>3461</v>
      </c>
    </row>
    <row r="26" spans="2:4" ht="12.75" customHeight="1" x14ac:dyDescent="0.35"/>
    <row r="27" spans="2:4" ht="12.75" customHeight="1" x14ac:dyDescent="0.35"/>
    <row r="28" spans="2:4" ht="12.75" customHeight="1" x14ac:dyDescent="0.35"/>
    <row r="29" spans="2:4" ht="12.75" customHeight="1" x14ac:dyDescent="0.35">
      <c r="C29" s="1332" t="s">
        <v>6336</v>
      </c>
    </row>
    <row r="30" spans="2:4" ht="12.75" customHeight="1" x14ac:dyDescent="0.35">
      <c r="B30" s="97" t="s">
        <v>3459</v>
      </c>
    </row>
    <row r="31" spans="2:4" ht="12.75" customHeight="1" x14ac:dyDescent="0.35">
      <c r="C31" s="97" t="s">
        <v>3460</v>
      </c>
    </row>
    <row r="32" spans="2:4" ht="12.75" customHeight="1" x14ac:dyDescent="0.35"/>
    <row r="33" spans="2:3" ht="12.75" customHeight="1" x14ac:dyDescent="0.35"/>
    <row r="34" spans="2:3" ht="12.75" customHeight="1" x14ac:dyDescent="0.35">
      <c r="B34" s="97" t="s">
        <v>3459</v>
      </c>
    </row>
    <row r="35" spans="2:3" ht="12.75" customHeight="1" x14ac:dyDescent="0.35">
      <c r="B35" s="104"/>
      <c r="C35" s="97" t="s">
        <v>3461</v>
      </c>
    </row>
    <row r="36" spans="2:3" ht="12.75" customHeight="1" x14ac:dyDescent="0.35"/>
    <row r="37" spans="2:3" ht="12.75" customHeight="1" x14ac:dyDescent="0.35"/>
    <row r="38" spans="2:3" ht="12.75" customHeight="1" x14ac:dyDescent="0.35"/>
    <row r="39" spans="2:3" ht="12.75" customHeight="1" x14ac:dyDescent="0.35">
      <c r="C39" s="1332" t="s">
        <v>6337</v>
      </c>
    </row>
    <row r="40" spans="2:3" ht="12.75" customHeight="1" x14ac:dyDescent="0.35">
      <c r="B40" s="97" t="s">
        <v>3459</v>
      </c>
    </row>
    <row r="41" spans="2:3" ht="12.75" customHeight="1" x14ac:dyDescent="0.35">
      <c r="C41" s="97" t="s">
        <v>3460</v>
      </c>
    </row>
    <row r="42" spans="2:3" ht="12.75" customHeight="1" x14ac:dyDescent="0.35"/>
    <row r="43" spans="2:3" ht="12.75" customHeight="1" x14ac:dyDescent="0.35"/>
    <row r="44" spans="2:3" ht="12.75" customHeight="1" x14ac:dyDescent="0.35">
      <c r="B44" s="97" t="s">
        <v>3459</v>
      </c>
    </row>
    <row r="45" spans="2:3" ht="12.75" customHeight="1" x14ac:dyDescent="0.35">
      <c r="B45" s="104"/>
      <c r="C45" s="97" t="s">
        <v>3461</v>
      </c>
    </row>
    <row r="46" spans="2:3" ht="12.75" customHeight="1" x14ac:dyDescent="0.35"/>
    <row r="47" spans="2:3" ht="12.75" customHeight="1" x14ac:dyDescent="0.35"/>
    <row r="48" spans="2:3" ht="12.75" customHeight="1" x14ac:dyDescent="0.35"/>
    <row r="49" spans="2:3" ht="12.75" customHeight="1" x14ac:dyDescent="0.35"/>
    <row r="50" spans="2:3" ht="12.75" customHeight="1" x14ac:dyDescent="0.35">
      <c r="B50" s="97" t="s">
        <v>3459</v>
      </c>
    </row>
    <row r="51" spans="2:3" ht="12.75" customHeight="1" x14ac:dyDescent="0.35">
      <c r="C51" s="97" t="s">
        <v>3460</v>
      </c>
    </row>
    <row r="52" spans="2:3" ht="12.75" customHeight="1" x14ac:dyDescent="0.35"/>
    <row r="53" spans="2:3" ht="12.75" customHeight="1" x14ac:dyDescent="0.35"/>
    <row r="54" spans="2:3" ht="12.75" customHeight="1" x14ac:dyDescent="0.35">
      <c r="B54" s="97" t="s">
        <v>3459</v>
      </c>
    </row>
    <row r="55" spans="2:3" ht="12.75" customHeight="1" x14ac:dyDescent="0.35">
      <c r="B55" s="104"/>
      <c r="C55" s="97" t="s">
        <v>3461</v>
      </c>
    </row>
    <row r="56" spans="2:3" ht="12.75" customHeight="1" x14ac:dyDescent="0.35"/>
    <row r="57" spans="2:3" ht="12.75" customHeight="1" x14ac:dyDescent="0.35"/>
    <row r="58" spans="2:3" ht="12.75" customHeight="1" x14ac:dyDescent="0.35"/>
    <row r="59" spans="2:3" ht="12.75" customHeight="1" x14ac:dyDescent="0.35"/>
    <row r="60" spans="2:3" ht="12.75" customHeight="1" x14ac:dyDescent="0.35">
      <c r="B60" s="97" t="s">
        <v>3459</v>
      </c>
    </row>
    <row r="61" spans="2:3" ht="12.75" customHeight="1" x14ac:dyDescent="0.35">
      <c r="C61" s="97" t="s">
        <v>3460</v>
      </c>
    </row>
    <row r="62" spans="2:3" ht="12.75" customHeight="1" x14ac:dyDescent="0.35"/>
    <row r="63" spans="2:3" ht="12.75" customHeight="1" x14ac:dyDescent="0.35"/>
    <row r="64" spans="2:3" ht="12.75" customHeight="1" x14ac:dyDescent="0.35">
      <c r="B64" s="97" t="s">
        <v>3459</v>
      </c>
    </row>
    <row r="65" spans="2:3" ht="12.75" customHeight="1" x14ac:dyDescent="0.35">
      <c r="B65" s="104"/>
      <c r="C65" s="97" t="s">
        <v>3461</v>
      </c>
    </row>
    <row r="66" spans="2:3" ht="12.75" customHeight="1" x14ac:dyDescent="0.35"/>
    <row r="67" spans="2:3" ht="12.75" customHeight="1" x14ac:dyDescent="0.35"/>
    <row r="68" spans="2:3" ht="12.75" customHeight="1" x14ac:dyDescent="0.35"/>
    <row r="69" spans="2:3" ht="12.75" customHeight="1" x14ac:dyDescent="0.35"/>
    <row r="70" spans="2:3" ht="12.75" customHeight="1" x14ac:dyDescent="0.35">
      <c r="B70" s="97" t="s">
        <v>3459</v>
      </c>
    </row>
    <row r="71" spans="2:3" ht="12.75" customHeight="1" x14ac:dyDescent="0.35">
      <c r="C71" s="97" t="s">
        <v>3460</v>
      </c>
    </row>
    <row r="72" spans="2:3" ht="12.75" customHeight="1" x14ac:dyDescent="0.35"/>
    <row r="73" spans="2:3" ht="12.75" customHeight="1" x14ac:dyDescent="0.35"/>
    <row r="74" spans="2:3" ht="12.75" customHeight="1" x14ac:dyDescent="0.35">
      <c r="B74" s="97" t="s">
        <v>3459</v>
      </c>
    </row>
    <row r="75" spans="2:3" ht="12.75" customHeight="1" x14ac:dyDescent="0.35">
      <c r="B75" s="104"/>
      <c r="C75" s="97" t="s">
        <v>3461</v>
      </c>
    </row>
    <row r="76" spans="2:3" ht="12.75" customHeight="1" x14ac:dyDescent="0.35"/>
    <row r="77" spans="2:3" ht="12.75" customHeight="1" x14ac:dyDescent="0.35"/>
    <row r="78" spans="2:3" ht="12.75" customHeight="1" x14ac:dyDescent="0.35"/>
    <row r="79" spans="2:3" ht="12.75" customHeight="1" x14ac:dyDescent="0.35"/>
    <row r="80" spans="2:3" ht="12.75" customHeight="1" x14ac:dyDescent="0.35">
      <c r="B80" s="97" t="s">
        <v>3459</v>
      </c>
    </row>
    <row r="81" spans="2:3" ht="12.75" customHeight="1" x14ac:dyDescent="0.35">
      <c r="C81" s="97" t="s">
        <v>3460</v>
      </c>
    </row>
    <row r="82" spans="2:3" ht="12.75" customHeight="1" x14ac:dyDescent="0.35"/>
    <row r="83" spans="2:3" ht="12.75" customHeight="1" x14ac:dyDescent="0.35"/>
    <row r="84" spans="2:3" ht="12.75" customHeight="1" x14ac:dyDescent="0.35">
      <c r="B84" s="97" t="s">
        <v>3459</v>
      </c>
    </row>
    <row r="85" spans="2:3" ht="12.75" customHeight="1" x14ac:dyDescent="0.35">
      <c r="B85" s="104"/>
      <c r="C85" s="97" t="s">
        <v>3461</v>
      </c>
    </row>
    <row r="86" spans="2:3" ht="12.75" customHeight="1" x14ac:dyDescent="0.35"/>
    <row r="87" spans="2:3" ht="12.75" customHeight="1" x14ac:dyDescent="0.35"/>
    <row r="88" spans="2:3" ht="12.75" customHeight="1" x14ac:dyDescent="0.35"/>
    <row r="89" spans="2:3" ht="12.75" customHeight="1" x14ac:dyDescent="0.35"/>
    <row r="90" spans="2:3" ht="12.75" customHeight="1" x14ac:dyDescent="0.35">
      <c r="B90" s="97" t="s">
        <v>3459</v>
      </c>
    </row>
    <row r="91" spans="2:3" ht="12.75" customHeight="1" x14ac:dyDescent="0.35">
      <c r="C91" s="97" t="s">
        <v>3460</v>
      </c>
    </row>
    <row r="92" spans="2:3" ht="12.75" customHeight="1" x14ac:dyDescent="0.35"/>
    <row r="93" spans="2:3" ht="12.75" customHeight="1" x14ac:dyDescent="0.35"/>
    <row r="94" spans="2:3" ht="12.75" customHeight="1" x14ac:dyDescent="0.35">
      <c r="B94" s="97" t="s">
        <v>3459</v>
      </c>
    </row>
    <row r="95" spans="2:3" ht="12.75" customHeight="1" x14ac:dyDescent="0.35">
      <c r="B95" s="104"/>
      <c r="C95" s="97" t="s">
        <v>3461</v>
      </c>
    </row>
    <row r="96" spans="2:3" ht="12.75" customHeight="1" x14ac:dyDescent="0.35"/>
    <row r="97" spans="2:3" ht="12.75" customHeight="1" x14ac:dyDescent="0.35"/>
    <row r="98" spans="2:3" ht="12.75" customHeight="1" x14ac:dyDescent="0.35"/>
    <row r="99" spans="2:3" ht="12.75" customHeight="1" x14ac:dyDescent="0.35"/>
    <row r="100" spans="2:3" ht="12.75" customHeight="1" x14ac:dyDescent="0.35">
      <c r="B100" s="97" t="s">
        <v>3459</v>
      </c>
    </row>
    <row r="101" spans="2:3" ht="12.75" customHeight="1" x14ac:dyDescent="0.35">
      <c r="C101" s="97" t="s">
        <v>3460</v>
      </c>
    </row>
    <row r="102" spans="2:3" ht="12.75" customHeight="1" x14ac:dyDescent="0.35"/>
    <row r="103" spans="2:3" ht="12.75" customHeight="1" x14ac:dyDescent="0.35"/>
    <row r="104" spans="2:3" ht="12.75" customHeight="1" x14ac:dyDescent="0.35">
      <c r="B104" s="97" t="s">
        <v>3459</v>
      </c>
    </row>
    <row r="105" spans="2:3" ht="12.75" customHeight="1" x14ac:dyDescent="0.35">
      <c r="B105" s="104"/>
      <c r="C105" s="97" t="s">
        <v>3461</v>
      </c>
    </row>
    <row r="106" spans="2:3" ht="12.75" customHeight="1" x14ac:dyDescent="0.35"/>
    <row r="107" spans="2:3" ht="12.75" customHeight="1" x14ac:dyDescent="0.35"/>
    <row r="108" spans="2:3" ht="12.75" customHeight="1" x14ac:dyDescent="0.35"/>
    <row r="109" spans="2:3" ht="12.75" customHeight="1" x14ac:dyDescent="0.35"/>
    <row r="110" spans="2:3" ht="12.75" customHeight="1" x14ac:dyDescent="0.35">
      <c r="B110" s="97" t="s">
        <v>3459</v>
      </c>
    </row>
    <row r="111" spans="2:3" ht="12.75" customHeight="1" x14ac:dyDescent="0.35">
      <c r="C111" s="97" t="s">
        <v>3460</v>
      </c>
    </row>
    <row r="112" spans="2:3" ht="12.75" customHeight="1" x14ac:dyDescent="0.35"/>
    <row r="113" spans="2:3" ht="12.75" customHeight="1" x14ac:dyDescent="0.35"/>
    <row r="114" spans="2:3" ht="12.75" customHeight="1" x14ac:dyDescent="0.35">
      <c r="B114" s="97" t="s">
        <v>3459</v>
      </c>
    </row>
    <row r="115" spans="2:3" ht="12.75" customHeight="1" x14ac:dyDescent="0.35">
      <c r="B115" s="104"/>
      <c r="C115" s="97" t="s">
        <v>3461</v>
      </c>
    </row>
    <row r="116" spans="2:3" ht="12.75" customHeight="1" x14ac:dyDescent="0.35"/>
    <row r="117" spans="2:3" ht="12.75" customHeight="1" x14ac:dyDescent="0.35"/>
    <row r="118" spans="2:3" ht="12.75" customHeight="1" x14ac:dyDescent="0.35"/>
    <row r="119" spans="2:3" ht="12.75" customHeight="1" x14ac:dyDescent="0.35"/>
    <row r="120" spans="2:3" ht="12.75" customHeight="1" x14ac:dyDescent="0.35">
      <c r="B120" s="97" t="s">
        <v>3459</v>
      </c>
    </row>
    <row r="121" spans="2:3" ht="12.75" customHeight="1" x14ac:dyDescent="0.35">
      <c r="C121" s="97" t="s">
        <v>3460</v>
      </c>
    </row>
    <row r="122" spans="2:3" ht="12.75" customHeight="1" x14ac:dyDescent="0.35"/>
    <row r="123" spans="2:3" ht="12.75" customHeight="1" x14ac:dyDescent="0.35"/>
    <row r="124" spans="2:3" ht="12.75" customHeight="1" x14ac:dyDescent="0.35">
      <c r="B124" s="97" t="s">
        <v>3459</v>
      </c>
    </row>
    <row r="125" spans="2:3" ht="12.75" customHeight="1" x14ac:dyDescent="0.35">
      <c r="B125" s="104"/>
      <c r="C125" s="97" t="s">
        <v>3461</v>
      </c>
    </row>
    <row r="126" spans="2:3" ht="12.75" customHeight="1" x14ac:dyDescent="0.35"/>
    <row r="127" spans="2:3" ht="12.75" customHeight="1" x14ac:dyDescent="0.35"/>
    <row r="128" spans="2:3" ht="12.75" customHeight="1" x14ac:dyDescent="0.35"/>
    <row r="129" spans="2:3" ht="12.75" customHeight="1" x14ac:dyDescent="0.35"/>
    <row r="130" spans="2:3" ht="12.75" customHeight="1" x14ac:dyDescent="0.35">
      <c r="B130" s="97" t="s">
        <v>3459</v>
      </c>
    </row>
    <row r="131" spans="2:3" ht="12.75" customHeight="1" x14ac:dyDescent="0.35">
      <c r="C131" s="97" t="s">
        <v>3460</v>
      </c>
    </row>
    <row r="132" spans="2:3" ht="12.75" customHeight="1" x14ac:dyDescent="0.35"/>
    <row r="133" spans="2:3" ht="12.75" customHeight="1" x14ac:dyDescent="0.35"/>
    <row r="134" spans="2:3" ht="12.75" customHeight="1" x14ac:dyDescent="0.35">
      <c r="B134" s="97" t="s">
        <v>3459</v>
      </c>
    </row>
    <row r="135" spans="2:3" ht="12.75" customHeight="1" x14ac:dyDescent="0.35">
      <c r="B135" s="104"/>
      <c r="C135" s="97" t="s">
        <v>3461</v>
      </c>
    </row>
    <row r="136" spans="2:3" ht="12.75" customHeight="1" x14ac:dyDescent="0.35"/>
    <row r="137" spans="2:3" ht="12.75" customHeight="1" x14ac:dyDescent="0.35"/>
    <row r="138" spans="2:3" ht="12.75" customHeight="1" x14ac:dyDescent="0.35"/>
    <row r="139" spans="2:3" ht="12.75" customHeight="1" x14ac:dyDescent="0.35"/>
    <row r="140" spans="2:3" ht="12.75" customHeight="1" x14ac:dyDescent="0.35">
      <c r="B140" s="97" t="s">
        <v>3459</v>
      </c>
    </row>
    <row r="141" spans="2:3" ht="12.75" customHeight="1" x14ac:dyDescent="0.35">
      <c r="C141" s="97" t="s">
        <v>3460</v>
      </c>
    </row>
    <row r="142" spans="2:3" ht="12.75" customHeight="1" x14ac:dyDescent="0.35"/>
    <row r="143" spans="2:3" ht="12.75" customHeight="1" x14ac:dyDescent="0.35"/>
    <row r="144" spans="2:3" ht="12.75" customHeight="1" x14ac:dyDescent="0.35">
      <c r="B144" s="97" t="s">
        <v>3459</v>
      </c>
    </row>
    <row r="145" spans="2:3" ht="12.75" customHeight="1" x14ac:dyDescent="0.35">
      <c r="B145" s="104"/>
      <c r="C145" s="97" t="s">
        <v>3461</v>
      </c>
    </row>
    <row r="146" spans="2:3" ht="12.75" customHeight="1" x14ac:dyDescent="0.35"/>
    <row r="147" spans="2:3" ht="12.75" customHeight="1" x14ac:dyDescent="0.35"/>
    <row r="148" spans="2:3" ht="12.75" customHeight="1" x14ac:dyDescent="0.35"/>
    <row r="149" spans="2:3" ht="12.75" customHeight="1" x14ac:dyDescent="0.35"/>
    <row r="150" spans="2:3" ht="12.75" customHeight="1" x14ac:dyDescent="0.35">
      <c r="B150" s="97" t="s">
        <v>3459</v>
      </c>
    </row>
    <row r="151" spans="2:3" ht="12.75" customHeight="1" x14ac:dyDescent="0.35">
      <c r="C151" s="97" t="s">
        <v>3460</v>
      </c>
    </row>
    <row r="152" spans="2:3" ht="12.75" customHeight="1" x14ac:dyDescent="0.35"/>
    <row r="153" spans="2:3" ht="12.75" customHeight="1" x14ac:dyDescent="0.35"/>
    <row r="154" spans="2:3" ht="12.75" customHeight="1" x14ac:dyDescent="0.35">
      <c r="B154" s="97" t="s">
        <v>3459</v>
      </c>
    </row>
    <row r="155" spans="2:3" ht="12.75" customHeight="1" x14ac:dyDescent="0.35">
      <c r="B155" s="104"/>
      <c r="C155" s="97" t="s">
        <v>3461</v>
      </c>
    </row>
    <row r="156" spans="2:3" ht="12.75" customHeight="1" x14ac:dyDescent="0.35"/>
    <row r="157" spans="2:3" ht="12.75" customHeight="1" x14ac:dyDescent="0.35"/>
    <row r="158" spans="2:3" ht="12.75" customHeight="1" x14ac:dyDescent="0.35"/>
    <row r="159" spans="2:3" ht="12.75" customHeight="1" x14ac:dyDescent="0.35"/>
    <row r="160" spans="2:3" ht="12.75" customHeight="1" x14ac:dyDescent="0.35">
      <c r="B160" s="97" t="s">
        <v>3459</v>
      </c>
    </row>
    <row r="161" spans="2:3" ht="12.75" customHeight="1" x14ac:dyDescent="0.35">
      <c r="C161" s="97" t="s">
        <v>3460</v>
      </c>
    </row>
    <row r="162" spans="2:3" ht="12.75" customHeight="1" x14ac:dyDescent="0.35"/>
    <row r="163" spans="2:3" ht="12.75" customHeight="1" x14ac:dyDescent="0.35"/>
    <row r="164" spans="2:3" ht="12.75" customHeight="1" x14ac:dyDescent="0.35">
      <c r="B164" s="97" t="s">
        <v>3459</v>
      </c>
    </row>
    <row r="165" spans="2:3" ht="12.75" customHeight="1" x14ac:dyDescent="0.35">
      <c r="B165" s="104"/>
      <c r="C165" s="97" t="s">
        <v>3461</v>
      </c>
    </row>
    <row r="166" spans="2:3" ht="12.75" customHeight="1" x14ac:dyDescent="0.35"/>
    <row r="167" spans="2:3" ht="12.75" customHeight="1" x14ac:dyDescent="0.35"/>
    <row r="168" spans="2:3" ht="12.75" customHeight="1" x14ac:dyDescent="0.35"/>
    <row r="169" spans="2:3" ht="12.75" customHeight="1" x14ac:dyDescent="0.35"/>
    <row r="170" spans="2:3" ht="12.75" customHeight="1" x14ac:dyDescent="0.35">
      <c r="B170" s="97" t="s">
        <v>3459</v>
      </c>
    </row>
    <row r="171" spans="2:3" ht="12.75" customHeight="1" x14ac:dyDescent="0.35">
      <c r="C171" s="97" t="s">
        <v>3460</v>
      </c>
    </row>
    <row r="172" spans="2:3" ht="12.75" customHeight="1" x14ac:dyDescent="0.35"/>
    <row r="173" spans="2:3" ht="12.75" customHeight="1" x14ac:dyDescent="0.35"/>
    <row r="174" spans="2:3" ht="12.75" customHeight="1" x14ac:dyDescent="0.35">
      <c r="B174" s="97" t="s">
        <v>3459</v>
      </c>
    </row>
    <row r="175" spans="2:3" ht="12.75" customHeight="1" x14ac:dyDescent="0.35">
      <c r="B175" s="104"/>
      <c r="C175" s="97" t="s">
        <v>3461</v>
      </c>
    </row>
    <row r="176" spans="2:3" ht="12.75" customHeight="1" x14ac:dyDescent="0.35"/>
    <row r="177" spans="2:3" ht="12.75" customHeight="1" x14ac:dyDescent="0.35"/>
    <row r="178" spans="2:3" ht="12.75" customHeight="1" x14ac:dyDescent="0.35"/>
    <row r="179" spans="2:3" ht="12.75" customHeight="1" x14ac:dyDescent="0.35"/>
    <row r="180" spans="2:3" ht="12.75" customHeight="1" x14ac:dyDescent="0.35">
      <c r="B180" s="97" t="s">
        <v>3459</v>
      </c>
    </row>
    <row r="181" spans="2:3" ht="12.75" customHeight="1" x14ac:dyDescent="0.35">
      <c r="C181" s="97" t="s">
        <v>3460</v>
      </c>
    </row>
    <row r="182" spans="2:3" ht="12.75" customHeight="1" x14ac:dyDescent="0.35"/>
    <row r="183" spans="2:3" ht="12.75" customHeight="1" x14ac:dyDescent="0.35"/>
    <row r="184" spans="2:3" ht="12.75" customHeight="1" x14ac:dyDescent="0.35">
      <c r="B184" s="97" t="s">
        <v>3459</v>
      </c>
    </row>
    <row r="185" spans="2:3" ht="12.75" customHeight="1" x14ac:dyDescent="0.35">
      <c r="B185" s="104"/>
      <c r="C185" s="97" t="s">
        <v>3461</v>
      </c>
    </row>
    <row r="186" spans="2:3" ht="12.75" customHeight="1" x14ac:dyDescent="0.35"/>
    <row r="187" spans="2:3" ht="12.75" customHeight="1" x14ac:dyDescent="0.35"/>
    <row r="188" spans="2:3" ht="12.75" customHeight="1" x14ac:dyDescent="0.35"/>
    <row r="189" spans="2:3" ht="12.75" customHeight="1" x14ac:dyDescent="0.35"/>
    <row r="190" spans="2:3" ht="12.75" customHeight="1" x14ac:dyDescent="0.35">
      <c r="B190" s="97" t="s">
        <v>3459</v>
      </c>
    </row>
    <row r="191" spans="2:3" ht="12.75" customHeight="1" x14ac:dyDescent="0.35">
      <c r="C191" s="97" t="s">
        <v>3460</v>
      </c>
    </row>
    <row r="192" spans="2:3" ht="12.75" customHeight="1" x14ac:dyDescent="0.35"/>
    <row r="193" spans="2:3" ht="12.75" customHeight="1" x14ac:dyDescent="0.35"/>
    <row r="194" spans="2:3" ht="12.75" customHeight="1" x14ac:dyDescent="0.35">
      <c r="B194" s="97" t="s">
        <v>3459</v>
      </c>
    </row>
    <row r="195" spans="2:3" ht="12.75" customHeight="1" x14ac:dyDescent="0.35">
      <c r="B195" s="104"/>
      <c r="C195" s="97" t="s">
        <v>3461</v>
      </c>
    </row>
    <row r="196" spans="2:3" ht="12.75" customHeight="1" x14ac:dyDescent="0.35"/>
    <row r="197" spans="2:3" ht="12.75" customHeight="1" x14ac:dyDescent="0.35"/>
    <row r="198" spans="2:3" ht="12.75" customHeight="1" x14ac:dyDescent="0.35"/>
    <row r="199" spans="2:3" ht="12.75" customHeight="1" x14ac:dyDescent="0.35"/>
    <row r="200" spans="2:3" ht="12.75" customHeight="1" x14ac:dyDescent="0.35">
      <c r="B200" s="97" t="s">
        <v>3459</v>
      </c>
    </row>
    <row r="201" spans="2:3" ht="12.75" customHeight="1" x14ac:dyDescent="0.35">
      <c r="C201" s="97" t="s">
        <v>3460</v>
      </c>
    </row>
    <row r="202" spans="2:3" ht="12.75" customHeight="1" x14ac:dyDescent="0.35"/>
    <row r="203" spans="2:3" ht="12.75" customHeight="1" x14ac:dyDescent="0.35"/>
    <row r="204" spans="2:3" ht="12.75" customHeight="1" x14ac:dyDescent="0.35">
      <c r="B204" s="97" t="s">
        <v>3459</v>
      </c>
    </row>
    <row r="205" spans="2:3" ht="12.75" customHeight="1" x14ac:dyDescent="0.35">
      <c r="B205" s="104"/>
      <c r="C205" s="97" t="s">
        <v>3461</v>
      </c>
    </row>
    <row r="206" spans="2:3" ht="12.75" customHeight="1" x14ac:dyDescent="0.35"/>
    <row r="207" spans="2:3" ht="12.75" customHeight="1" x14ac:dyDescent="0.35"/>
    <row r="208" spans="2:3" ht="12.75" customHeight="1" x14ac:dyDescent="0.35"/>
    <row r="209" spans="2:3" ht="12.75" customHeight="1" x14ac:dyDescent="0.35"/>
    <row r="210" spans="2:3" ht="12.75" customHeight="1" x14ac:dyDescent="0.35">
      <c r="B210" s="97" t="s">
        <v>3459</v>
      </c>
    </row>
    <row r="211" spans="2:3" ht="12.75" customHeight="1" x14ac:dyDescent="0.35">
      <c r="C211" s="97" t="s">
        <v>3460</v>
      </c>
    </row>
    <row r="212" spans="2:3" ht="12.75" customHeight="1" x14ac:dyDescent="0.35"/>
    <row r="213" spans="2:3" ht="12.75" customHeight="1" x14ac:dyDescent="0.35"/>
    <row r="214" spans="2:3" ht="12.75" customHeight="1" x14ac:dyDescent="0.35">
      <c r="B214" s="97" t="s">
        <v>3459</v>
      </c>
    </row>
    <row r="215" spans="2:3" ht="12.75" customHeight="1" x14ac:dyDescent="0.35">
      <c r="B215" s="104"/>
      <c r="C215" s="97" t="s">
        <v>3461</v>
      </c>
    </row>
    <row r="216" spans="2:3" ht="12.75" customHeight="1" x14ac:dyDescent="0.35"/>
    <row r="217" spans="2:3" ht="12.75" customHeight="1" x14ac:dyDescent="0.35"/>
    <row r="218" spans="2:3" ht="12.75" customHeight="1" x14ac:dyDescent="0.35"/>
    <row r="219" spans="2:3" ht="12.75" customHeight="1" x14ac:dyDescent="0.35"/>
    <row r="220" spans="2:3" ht="12.75" customHeight="1" x14ac:dyDescent="0.35">
      <c r="B220" s="97" t="s">
        <v>3459</v>
      </c>
    </row>
    <row r="221" spans="2:3" ht="12.75" customHeight="1" x14ac:dyDescent="0.35">
      <c r="C221" s="97" t="s">
        <v>3460</v>
      </c>
    </row>
    <row r="222" spans="2:3" ht="12.75" customHeight="1" x14ac:dyDescent="0.35"/>
    <row r="223" spans="2:3" ht="12.75" customHeight="1" x14ac:dyDescent="0.35"/>
    <row r="224" spans="2:3" ht="12.75" customHeight="1" x14ac:dyDescent="0.35">
      <c r="B224" s="97" t="s">
        <v>3459</v>
      </c>
    </row>
    <row r="225" spans="2:3" ht="12.75" customHeight="1" x14ac:dyDescent="0.35">
      <c r="B225" s="104"/>
      <c r="C225" s="97" t="s">
        <v>3461</v>
      </c>
    </row>
    <row r="226" spans="2:3" ht="12.75" customHeight="1" x14ac:dyDescent="0.35"/>
    <row r="227" spans="2:3" ht="12.75" customHeight="1" x14ac:dyDescent="0.35"/>
    <row r="228" spans="2:3" ht="12.75" customHeight="1" x14ac:dyDescent="0.35"/>
    <row r="229" spans="2:3" ht="12.75" customHeight="1" x14ac:dyDescent="0.35"/>
    <row r="230" spans="2:3" ht="12.75" customHeight="1" x14ac:dyDescent="0.35">
      <c r="B230" s="97" t="s">
        <v>3459</v>
      </c>
    </row>
    <row r="231" spans="2:3" ht="12.75" customHeight="1" x14ac:dyDescent="0.35">
      <c r="C231" s="97" t="s">
        <v>3460</v>
      </c>
    </row>
    <row r="232" spans="2:3" ht="12.75" customHeight="1" x14ac:dyDescent="0.35"/>
    <row r="233" spans="2:3" ht="12.75" customHeight="1" x14ac:dyDescent="0.35"/>
    <row r="234" spans="2:3" ht="12.75" customHeight="1" x14ac:dyDescent="0.35">
      <c r="B234" s="97" t="s">
        <v>3459</v>
      </c>
    </row>
    <row r="235" spans="2:3" ht="12.75" customHeight="1" x14ac:dyDescent="0.35">
      <c r="B235" s="104"/>
      <c r="C235" s="97" t="s">
        <v>3461</v>
      </c>
    </row>
    <row r="236" spans="2:3" ht="12.75" customHeight="1" x14ac:dyDescent="0.35"/>
    <row r="237" spans="2:3" ht="12.75" customHeight="1" x14ac:dyDescent="0.35"/>
    <row r="238" spans="2:3" ht="12.75" customHeight="1" x14ac:dyDescent="0.35"/>
    <row r="239" spans="2:3" ht="12.75" customHeight="1" x14ac:dyDescent="0.35"/>
    <row r="240" spans="2:3" ht="12.75" customHeight="1" x14ac:dyDescent="0.35">
      <c r="B240" s="97" t="s">
        <v>3459</v>
      </c>
    </row>
    <row r="241" spans="2:3" ht="12.75" customHeight="1" x14ac:dyDescent="0.35">
      <c r="C241" s="97" t="s">
        <v>3460</v>
      </c>
    </row>
    <row r="242" spans="2:3" ht="12.75" customHeight="1" x14ac:dyDescent="0.35"/>
    <row r="243" spans="2:3" ht="12.75" customHeight="1" x14ac:dyDescent="0.35"/>
    <row r="244" spans="2:3" ht="12.75" customHeight="1" x14ac:dyDescent="0.35">
      <c r="B244" s="97" t="s">
        <v>3459</v>
      </c>
    </row>
    <row r="245" spans="2:3" ht="12.75" customHeight="1" x14ac:dyDescent="0.35">
      <c r="B245" s="104"/>
      <c r="C245" s="97" t="s">
        <v>3461</v>
      </c>
    </row>
    <row r="246" spans="2:3" ht="12.75" customHeight="1" x14ac:dyDescent="0.35"/>
    <row r="247" spans="2:3" ht="12.75" customHeight="1" x14ac:dyDescent="0.35"/>
    <row r="248" spans="2:3" ht="12.75" customHeight="1" x14ac:dyDescent="0.35"/>
    <row r="249" spans="2:3" ht="12.75" customHeight="1" x14ac:dyDescent="0.35"/>
    <row r="250" spans="2:3" ht="12.75" customHeight="1" x14ac:dyDescent="0.35">
      <c r="B250" s="97" t="s">
        <v>3459</v>
      </c>
    </row>
    <row r="251" spans="2:3" ht="12.75" customHeight="1" x14ac:dyDescent="0.35">
      <c r="C251" s="97" t="s">
        <v>3460</v>
      </c>
    </row>
    <row r="252" spans="2:3" ht="12.75" customHeight="1" x14ac:dyDescent="0.35"/>
    <row r="253" spans="2:3" ht="12.75" customHeight="1" x14ac:dyDescent="0.35"/>
    <row r="254" spans="2:3" ht="12.75" customHeight="1" x14ac:dyDescent="0.35">
      <c r="B254" s="97" t="s">
        <v>3459</v>
      </c>
    </row>
    <row r="255" spans="2:3" ht="12.75" customHeight="1" x14ac:dyDescent="0.35">
      <c r="B255" s="104"/>
      <c r="C255" s="97" t="s">
        <v>3461</v>
      </c>
    </row>
    <row r="256" spans="2:3" ht="12.75" customHeight="1" x14ac:dyDescent="0.35"/>
    <row r="257" spans="2:3" ht="12.75" customHeight="1" x14ac:dyDescent="0.35"/>
    <row r="258" spans="2:3" ht="12.75" customHeight="1" x14ac:dyDescent="0.35"/>
    <row r="259" spans="2:3" ht="12.75" customHeight="1" x14ac:dyDescent="0.35"/>
    <row r="260" spans="2:3" ht="12.75" customHeight="1" x14ac:dyDescent="0.35">
      <c r="B260" s="97" t="s">
        <v>3459</v>
      </c>
    </row>
    <row r="261" spans="2:3" ht="12.75" customHeight="1" x14ac:dyDescent="0.35">
      <c r="C261" s="97" t="s">
        <v>3460</v>
      </c>
    </row>
    <row r="262" spans="2:3" ht="12.75" customHeight="1" x14ac:dyDescent="0.35"/>
    <row r="263" spans="2:3" ht="12.75" customHeight="1" x14ac:dyDescent="0.35"/>
    <row r="264" spans="2:3" ht="12.75" customHeight="1" x14ac:dyDescent="0.35">
      <c r="B264" s="97" t="s">
        <v>3459</v>
      </c>
    </row>
    <row r="265" spans="2:3" ht="12.75" customHeight="1" x14ac:dyDescent="0.35">
      <c r="B265" s="104"/>
      <c r="C265" s="97" t="s">
        <v>3461</v>
      </c>
    </row>
    <row r="266" spans="2:3" ht="12.75" customHeight="1" x14ac:dyDescent="0.35"/>
    <row r="267" spans="2:3" ht="12.75" customHeight="1" x14ac:dyDescent="0.35"/>
    <row r="268" spans="2:3" ht="12.75" customHeight="1" x14ac:dyDescent="0.35"/>
    <row r="269" spans="2:3" ht="12.75" customHeight="1" x14ac:dyDescent="0.35"/>
    <row r="270" spans="2:3" ht="12.75" customHeight="1" x14ac:dyDescent="0.35">
      <c r="B270" s="97" t="s">
        <v>3459</v>
      </c>
    </row>
    <row r="271" spans="2:3" ht="12.75" customHeight="1" x14ac:dyDescent="0.35">
      <c r="C271" s="97" t="s">
        <v>3460</v>
      </c>
    </row>
    <row r="272" spans="2:3" ht="12.75" customHeight="1" x14ac:dyDescent="0.35"/>
    <row r="273" spans="2:3" ht="12.75" customHeight="1" x14ac:dyDescent="0.35"/>
    <row r="274" spans="2:3" ht="12.75" customHeight="1" x14ac:dyDescent="0.35">
      <c r="B274" s="97" t="s">
        <v>3459</v>
      </c>
    </row>
    <row r="275" spans="2:3" ht="12.75" customHeight="1" x14ac:dyDescent="0.35">
      <c r="B275" s="104"/>
      <c r="C275" s="97" t="s">
        <v>3461</v>
      </c>
    </row>
    <row r="276" spans="2:3" ht="12.75" customHeight="1" x14ac:dyDescent="0.35"/>
    <row r="277" spans="2:3" ht="12.75" customHeight="1" x14ac:dyDescent="0.35"/>
    <row r="278" spans="2:3" ht="12.75" customHeight="1" x14ac:dyDescent="0.35"/>
    <row r="279" spans="2:3" ht="12.75" customHeight="1" x14ac:dyDescent="0.35"/>
    <row r="280" spans="2:3" ht="12.75" customHeight="1" x14ac:dyDescent="0.35">
      <c r="B280" s="97" t="s">
        <v>3459</v>
      </c>
    </row>
    <row r="281" spans="2:3" ht="12.75" customHeight="1" x14ac:dyDescent="0.35">
      <c r="C281" s="97" t="s">
        <v>3460</v>
      </c>
    </row>
    <row r="282" spans="2:3" ht="12.75" customHeight="1" x14ac:dyDescent="0.35"/>
    <row r="283" spans="2:3" ht="12.75" customHeight="1" x14ac:dyDescent="0.35"/>
    <row r="284" spans="2:3" ht="12.75" customHeight="1" x14ac:dyDescent="0.35">
      <c r="B284" s="97" t="s">
        <v>3459</v>
      </c>
    </row>
    <row r="285" spans="2:3" ht="12.75" customHeight="1" x14ac:dyDescent="0.35">
      <c r="B285" s="104"/>
      <c r="C285" s="97" t="s">
        <v>3461</v>
      </c>
    </row>
    <row r="286" spans="2:3" ht="12.75" customHeight="1" x14ac:dyDescent="0.35"/>
    <row r="287" spans="2:3" ht="12.75" customHeight="1" x14ac:dyDescent="0.35"/>
    <row r="288" spans="2:3" ht="12.75" customHeight="1" x14ac:dyDescent="0.35"/>
    <row r="289" spans="2:3" ht="12.75" customHeight="1" x14ac:dyDescent="0.35"/>
    <row r="290" spans="2:3" ht="12.75" customHeight="1" x14ac:dyDescent="0.35">
      <c r="B290" s="97" t="s">
        <v>3459</v>
      </c>
    </row>
    <row r="291" spans="2:3" ht="12.75" customHeight="1" x14ac:dyDescent="0.35">
      <c r="C291" s="97" t="s">
        <v>3460</v>
      </c>
    </row>
    <row r="292" spans="2:3" ht="12.75" customHeight="1" x14ac:dyDescent="0.35"/>
    <row r="293" spans="2:3" ht="12.75" customHeight="1" x14ac:dyDescent="0.35"/>
    <row r="294" spans="2:3" ht="12.75" customHeight="1" x14ac:dyDescent="0.35">
      <c r="B294" s="97" t="s">
        <v>3459</v>
      </c>
    </row>
    <row r="295" spans="2:3" ht="12.75" customHeight="1" x14ac:dyDescent="0.35">
      <c r="B295" s="104"/>
      <c r="C295" s="97" t="s">
        <v>3461</v>
      </c>
    </row>
    <row r="296" spans="2:3" ht="12.75" customHeight="1" x14ac:dyDescent="0.35"/>
    <row r="297" spans="2:3" ht="12.75" customHeight="1" x14ac:dyDescent="0.35"/>
    <row r="298" spans="2:3" ht="12.75" customHeight="1" x14ac:dyDescent="0.35"/>
    <row r="299" spans="2:3" ht="12.75" customHeight="1" x14ac:dyDescent="0.35"/>
    <row r="300" spans="2:3" ht="12.75" customHeight="1" x14ac:dyDescent="0.35">
      <c r="B300" s="97" t="s">
        <v>3459</v>
      </c>
    </row>
    <row r="301" spans="2:3" ht="12.75" customHeight="1" x14ac:dyDescent="0.35">
      <c r="C301" s="97" t="s">
        <v>3460</v>
      </c>
    </row>
    <row r="302" spans="2:3" ht="12.75" customHeight="1" x14ac:dyDescent="0.35"/>
    <row r="303" spans="2:3" ht="12.75" customHeight="1" x14ac:dyDescent="0.35"/>
    <row r="304" spans="2:3" ht="12.75" customHeight="1" x14ac:dyDescent="0.35">
      <c r="B304" s="97" t="s">
        <v>3459</v>
      </c>
    </row>
    <row r="305" spans="2:3" ht="12.75" customHeight="1" x14ac:dyDescent="0.35">
      <c r="B305" s="104"/>
      <c r="C305" s="97" t="s">
        <v>3461</v>
      </c>
    </row>
    <row r="306" spans="2:3" ht="12.75" customHeight="1" x14ac:dyDescent="0.35"/>
    <row r="307" spans="2:3" ht="12.75" customHeight="1" x14ac:dyDescent="0.35"/>
    <row r="308" spans="2:3" ht="12.75" customHeight="1" x14ac:dyDescent="0.35"/>
    <row r="309" spans="2:3" ht="12.75" customHeight="1" x14ac:dyDescent="0.35"/>
    <row r="310" spans="2:3" ht="12.75" customHeight="1" x14ac:dyDescent="0.35">
      <c r="B310" s="97" t="s">
        <v>3459</v>
      </c>
    </row>
    <row r="311" spans="2:3" ht="12.75" customHeight="1" x14ac:dyDescent="0.35">
      <c r="C311" s="97" t="s">
        <v>3460</v>
      </c>
    </row>
    <row r="312" spans="2:3" ht="12.75" customHeight="1" x14ac:dyDescent="0.35"/>
    <row r="313" spans="2:3" ht="12.75" customHeight="1" x14ac:dyDescent="0.35"/>
    <row r="314" spans="2:3" ht="12.75" customHeight="1" x14ac:dyDescent="0.35">
      <c r="B314" s="97" t="s">
        <v>3459</v>
      </c>
    </row>
    <row r="315" spans="2:3" ht="12.75" customHeight="1" x14ac:dyDescent="0.35">
      <c r="B315" s="104"/>
      <c r="C315" s="97" t="s">
        <v>3461</v>
      </c>
    </row>
    <row r="316" spans="2:3" ht="12.75" customHeight="1" x14ac:dyDescent="0.35"/>
    <row r="317" spans="2:3" ht="12.75" customHeight="1" x14ac:dyDescent="0.35"/>
    <row r="318" spans="2:3" ht="12.75" customHeight="1" x14ac:dyDescent="0.35">
      <c r="B318" s="97" t="s">
        <v>3462</v>
      </c>
    </row>
    <row r="319" spans="2:3" ht="12.75" customHeight="1" x14ac:dyDescent="0.35">
      <c r="B319" s="97" t="s">
        <v>3463</v>
      </c>
    </row>
    <row r="320" spans="2:3" ht="12.75" customHeight="1" x14ac:dyDescent="0.35">
      <c r="B320" s="97" t="s">
        <v>2528</v>
      </c>
    </row>
    <row r="321" spans="1:4" ht="12.75" customHeight="1" x14ac:dyDescent="0.35">
      <c r="B321" s="97" t="s">
        <v>3464</v>
      </c>
    </row>
    <row r="322" spans="1:4" ht="12.75" customHeight="1" x14ac:dyDescent="0.35">
      <c r="B322" s="97" t="s">
        <v>3460</v>
      </c>
    </row>
    <row r="323" spans="1:4" ht="12.75" customHeight="1" x14ac:dyDescent="0.35">
      <c r="B323" s="97" t="s">
        <v>3465</v>
      </c>
    </row>
    <row r="324" spans="1:4" ht="12.75" customHeight="1" x14ac:dyDescent="0.35">
      <c r="B324" s="97" t="s">
        <v>3463</v>
      </c>
    </row>
    <row r="325" spans="1:4" ht="12.75" customHeight="1" x14ac:dyDescent="0.35">
      <c r="B325" s="97" t="s">
        <v>3457</v>
      </c>
    </row>
    <row r="326" spans="1:4" ht="12.75" customHeight="1" x14ac:dyDescent="0.35">
      <c r="B326" s="97" t="s">
        <v>3464</v>
      </c>
    </row>
    <row r="327" spans="1:4" ht="12.75" customHeight="1" x14ac:dyDescent="0.35">
      <c r="A327" s="104"/>
      <c r="B327" s="97" t="s">
        <v>3461</v>
      </c>
    </row>
    <row r="328" spans="1:4" ht="12.75" customHeight="1" x14ac:dyDescent="0.35"/>
    <row r="329" spans="1:4" ht="12.75" customHeight="1" x14ac:dyDescent="0.35">
      <c r="B329" s="97" t="s">
        <v>3466</v>
      </c>
    </row>
    <row r="330" spans="1:4" ht="12.75" customHeight="1" x14ac:dyDescent="0.35">
      <c r="B330" s="97" t="s">
        <v>3467</v>
      </c>
    </row>
    <row r="331" spans="1:4" ht="12.75" customHeight="1" x14ac:dyDescent="0.35">
      <c r="B331" s="97" t="s">
        <v>3468</v>
      </c>
    </row>
    <row r="332" spans="1:4" ht="12.75" customHeight="1" x14ac:dyDescent="0.35">
      <c r="B332" s="97" t="s">
        <v>3469</v>
      </c>
    </row>
    <row r="333" spans="1:4" ht="12.75" customHeight="1" x14ac:dyDescent="0.35">
      <c r="B333" s="97" t="s">
        <v>3470</v>
      </c>
    </row>
    <row r="334" spans="1:4" ht="12.75" customHeight="1" x14ac:dyDescent="0.35"/>
    <row r="335" spans="1:4" ht="12.75" customHeight="1" x14ac:dyDescent="0.35">
      <c r="B335" s="97" t="s">
        <v>3471</v>
      </c>
      <c r="D335" s="97" t="s">
        <v>3472</v>
      </c>
    </row>
    <row r="336" spans="1:4" ht="12.75" customHeight="1" x14ac:dyDescent="0.35">
      <c r="B336" s="97" t="s">
        <v>3473</v>
      </c>
    </row>
    <row r="337" spans="2:3" ht="12.75" customHeight="1" x14ac:dyDescent="0.35">
      <c r="B337" s="97" t="s">
        <v>3474</v>
      </c>
    </row>
    <row r="338" spans="2:3" ht="12.75" customHeight="1" x14ac:dyDescent="0.35">
      <c r="B338" s="97" t="s">
        <v>3475</v>
      </c>
    </row>
    <row r="339" spans="2:3" ht="12.75" customHeight="1" x14ac:dyDescent="0.35">
      <c r="B339" s="97" t="s">
        <v>3476</v>
      </c>
    </row>
    <row r="340" spans="2:3" ht="12.75" customHeight="1" x14ac:dyDescent="0.35">
      <c r="B340" s="97" t="s">
        <v>3477</v>
      </c>
    </row>
    <row r="341" spans="2:3" ht="12.75" customHeight="1" x14ac:dyDescent="0.35">
      <c r="B341" s="97" t="s">
        <v>3478</v>
      </c>
    </row>
    <row r="342" spans="2:3" ht="12.75" customHeight="1" x14ac:dyDescent="0.35">
      <c r="B342" s="97" t="s">
        <v>3479</v>
      </c>
    </row>
    <row r="343" spans="2:3" ht="12.75" customHeight="1" x14ac:dyDescent="0.35">
      <c r="B343" s="97" t="s">
        <v>3480</v>
      </c>
    </row>
    <row r="344" spans="2:3" ht="12.75" customHeight="1" x14ac:dyDescent="0.35">
      <c r="B344" s="97" t="s">
        <v>3481</v>
      </c>
    </row>
    <row r="345" spans="2:3" ht="12.75" customHeight="1" x14ac:dyDescent="0.35">
      <c r="B345" s="97" t="s">
        <v>3482</v>
      </c>
    </row>
    <row r="346" spans="2:3" ht="12.75" customHeight="1" x14ac:dyDescent="0.35">
      <c r="B346" s="97" t="s">
        <v>3483</v>
      </c>
    </row>
    <row r="347" spans="2:3" ht="12.75" customHeight="1" x14ac:dyDescent="0.35">
      <c r="C347" s="97" t="s">
        <v>3484</v>
      </c>
    </row>
    <row r="348" spans="2:3" ht="12.75" customHeight="1" x14ac:dyDescent="0.35"/>
    <row r="349" spans="2:3" ht="12.75" customHeight="1" x14ac:dyDescent="0.35">
      <c r="C349" s="97" t="s">
        <v>3485</v>
      </c>
    </row>
    <row r="350" spans="2:3" ht="12.75" customHeight="1" x14ac:dyDescent="0.35">
      <c r="C350" s="97" t="s">
        <v>2528</v>
      </c>
    </row>
    <row r="351" spans="2:3" ht="12.75" customHeight="1" x14ac:dyDescent="0.35">
      <c r="C351" s="97" t="s">
        <v>3279</v>
      </c>
    </row>
    <row r="352" spans="2:3"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spans="3:3" ht="12.75" customHeight="1" x14ac:dyDescent="0.35">
      <c r="C385" s="97" t="s">
        <v>3486</v>
      </c>
    </row>
    <row r="386" spans="3:3" ht="12.75" customHeight="1" x14ac:dyDescent="0.35"/>
    <row r="387" spans="3:3" ht="12.75" customHeight="1" x14ac:dyDescent="0.35"/>
    <row r="388" spans="3:3" ht="12.75" customHeight="1" x14ac:dyDescent="0.35"/>
    <row r="389" spans="3:3" ht="12.75" customHeight="1" x14ac:dyDescent="0.35"/>
    <row r="390" spans="3:3" ht="12.75" customHeight="1" x14ac:dyDescent="0.35"/>
    <row r="391" spans="3:3" ht="12.75" customHeight="1" x14ac:dyDescent="0.35"/>
    <row r="392" spans="3:3" ht="12.75" customHeight="1" x14ac:dyDescent="0.35"/>
    <row r="393" spans="3:3" ht="12.75" customHeight="1" x14ac:dyDescent="0.35"/>
    <row r="394" spans="3:3" ht="12.75" customHeight="1" x14ac:dyDescent="0.35"/>
    <row r="395" spans="3:3" ht="12.75" customHeight="1" x14ac:dyDescent="0.35"/>
    <row r="396" spans="3:3" ht="12.75" customHeight="1" x14ac:dyDescent="0.35"/>
    <row r="397" spans="3:3" ht="12.75" customHeight="1" x14ac:dyDescent="0.35"/>
    <row r="398" spans="3:3" ht="12.75" customHeight="1" x14ac:dyDescent="0.35"/>
    <row r="399" spans="3:3" ht="12.75" customHeight="1" x14ac:dyDescent="0.35"/>
    <row r="400" spans="3:3"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spans="2:3" ht="12.75" customHeight="1" x14ac:dyDescent="0.35"/>
    <row r="418" spans="2:3" ht="12.75" customHeight="1" x14ac:dyDescent="0.35"/>
    <row r="419" spans="2:3" ht="12.75" customHeight="1" x14ac:dyDescent="0.35"/>
    <row r="420" spans="2:3" ht="12.75" customHeight="1" x14ac:dyDescent="0.35"/>
    <row r="421" spans="2:3" ht="12.75" customHeight="1" x14ac:dyDescent="0.35"/>
    <row r="422" spans="2:3" ht="12.75" customHeight="1" x14ac:dyDescent="0.35">
      <c r="C422" s="97" t="s">
        <v>3487</v>
      </c>
    </row>
    <row r="423" spans="2:3" ht="12.75" customHeight="1" x14ac:dyDescent="0.35">
      <c r="B423" s="97" t="s">
        <v>3488</v>
      </c>
    </row>
    <row r="424" spans="2:3" ht="12.75" customHeight="1" x14ac:dyDescent="0.35">
      <c r="B424" s="97" t="s">
        <v>3489</v>
      </c>
    </row>
    <row r="425" spans="2:3" ht="12.75" customHeight="1" x14ac:dyDescent="0.35">
      <c r="B425" s="97" t="s">
        <v>2528</v>
      </c>
    </row>
    <row r="426" spans="2:3" ht="12.75" customHeight="1" x14ac:dyDescent="0.35">
      <c r="B426" s="97" t="s">
        <v>3490</v>
      </c>
    </row>
    <row r="427" spans="2:3" ht="12.75" customHeight="1" x14ac:dyDescent="0.35">
      <c r="B427" s="97" t="s">
        <v>3491</v>
      </c>
    </row>
    <row r="428" spans="2:3" ht="12.75" customHeight="1" x14ac:dyDescent="0.35">
      <c r="B428" s="97" t="s">
        <v>3492</v>
      </c>
    </row>
    <row r="429" spans="2:3" ht="12.75" customHeight="1" x14ac:dyDescent="0.35">
      <c r="B429" s="97" t="s">
        <v>3493</v>
      </c>
    </row>
    <row r="430" spans="2:3" ht="12.75" customHeight="1" x14ac:dyDescent="0.35">
      <c r="B430" s="97" t="s">
        <v>3494</v>
      </c>
    </row>
    <row r="431" spans="2:3" ht="12.75" customHeight="1" x14ac:dyDescent="0.35">
      <c r="B431" s="97" t="s">
        <v>3495</v>
      </c>
    </row>
    <row r="432" spans="2:3" ht="12.75" customHeight="1" x14ac:dyDescent="0.35">
      <c r="B432" s="97" t="s">
        <v>3496</v>
      </c>
    </row>
    <row r="433" spans="2:3" ht="12.75" customHeight="1" x14ac:dyDescent="0.35"/>
    <row r="434" spans="2:3" ht="12.75" customHeight="1" x14ac:dyDescent="0.35"/>
    <row r="435" spans="2:3" ht="12.75" customHeight="1" x14ac:dyDescent="0.35"/>
    <row r="436" spans="2:3" ht="12.75" customHeight="1" x14ac:dyDescent="0.35"/>
    <row r="437" spans="2:3" ht="12.75" customHeight="1" x14ac:dyDescent="0.35"/>
    <row r="438" spans="2:3" ht="12.75" customHeight="1" x14ac:dyDescent="0.35"/>
    <row r="439" spans="2:3" ht="12.75" customHeight="1" x14ac:dyDescent="0.35">
      <c r="B439" s="97" t="s">
        <v>3497</v>
      </c>
    </row>
    <row r="440" spans="2:3" ht="12.75" customHeight="1" x14ac:dyDescent="0.35"/>
    <row r="441" spans="2:3" ht="12.75" customHeight="1" x14ac:dyDescent="0.35">
      <c r="B441" s="97" t="s">
        <v>3498</v>
      </c>
    </row>
    <row r="442" spans="2:3" ht="12.75" customHeight="1" x14ac:dyDescent="0.35">
      <c r="B442" s="97" t="s">
        <v>3499</v>
      </c>
    </row>
    <row r="443" spans="2:3" ht="12.75" customHeight="1" x14ac:dyDescent="0.35">
      <c r="C443" s="1332" t="s">
        <v>6338</v>
      </c>
    </row>
    <row r="444" spans="2:3" ht="12.75" customHeight="1" x14ac:dyDescent="0.35">
      <c r="C444" s="1332" t="s">
        <v>6339</v>
      </c>
    </row>
    <row r="445" spans="2:3" ht="12.75" customHeight="1" x14ac:dyDescent="0.35">
      <c r="C445" s="1332" t="s">
        <v>6340</v>
      </c>
    </row>
    <row r="446" spans="2:3" ht="12.75" customHeight="1" x14ac:dyDescent="0.35">
      <c r="C446" s="1332" t="s">
        <v>6341</v>
      </c>
    </row>
    <row r="447" spans="2:3" ht="12.75" customHeight="1" x14ac:dyDescent="0.35"/>
    <row r="448" spans="2:3" ht="12.75" customHeight="1" x14ac:dyDescent="0.35"/>
    <row r="449" spans="2:3" ht="12.75" customHeight="1" x14ac:dyDescent="0.35"/>
    <row r="450" spans="2:3" ht="12.75" customHeight="1" x14ac:dyDescent="0.35"/>
    <row r="451" spans="2:3" ht="12.75" customHeight="1" x14ac:dyDescent="0.35"/>
    <row r="452" spans="2:3" ht="12.75" customHeight="1" x14ac:dyDescent="0.35"/>
    <row r="453" spans="2:3" ht="12.75" customHeight="1" x14ac:dyDescent="0.35"/>
    <row r="454" spans="2:3" ht="12.75" customHeight="1" x14ac:dyDescent="0.35"/>
    <row r="455" spans="2:3" ht="12.75" customHeight="1" x14ac:dyDescent="0.35"/>
    <row r="456" spans="2:3" ht="12.75" customHeight="1" x14ac:dyDescent="0.35">
      <c r="B456" s="97" t="s">
        <v>3500</v>
      </c>
    </row>
    <row r="457" spans="2:3" ht="12.75" customHeight="1" x14ac:dyDescent="0.35">
      <c r="B457" s="97" t="s">
        <v>3501</v>
      </c>
    </row>
    <row r="458" spans="2:3" ht="12.75" customHeight="1" x14ac:dyDescent="0.35">
      <c r="B458" s="97" t="str">
        <f>IF(PrintMode=0,"      ","")&amp;"Pozostałe przychody operacyjne"</f>
        <v xml:space="preserve">      Pozostałe przychody operacyjne</v>
      </c>
    </row>
    <row r="459" spans="2:3" ht="12.75" customHeight="1" x14ac:dyDescent="0.35">
      <c r="B459" s="97" t="s">
        <v>3502</v>
      </c>
    </row>
    <row r="460" spans="2:3" ht="12.75" customHeight="1" x14ac:dyDescent="0.35">
      <c r="C460" s="97" t="s">
        <v>3503</v>
      </c>
    </row>
    <row r="461" spans="2:3" ht="12.75" customHeight="1" x14ac:dyDescent="0.35">
      <c r="C461" s="1332" t="s">
        <v>6342</v>
      </c>
    </row>
    <row r="462" spans="2:3" ht="12.75" customHeight="1" x14ac:dyDescent="0.35">
      <c r="C462" s="1332" t="s">
        <v>6343</v>
      </c>
    </row>
    <row r="463" spans="2:3" ht="12.75" customHeight="1" x14ac:dyDescent="0.35">
      <c r="C463" s="97" t="s">
        <v>3504</v>
      </c>
    </row>
    <row r="464" spans="2:3" ht="12.75" customHeight="1" x14ac:dyDescent="0.35">
      <c r="C464" s="97" t="s">
        <v>3505</v>
      </c>
    </row>
    <row r="465" spans="2:3" ht="12.75" customHeight="1" x14ac:dyDescent="0.35">
      <c r="C465" s="97" t="s">
        <v>3506</v>
      </c>
    </row>
    <row r="466" spans="2:3" ht="12.75" customHeight="1" x14ac:dyDescent="0.35"/>
    <row r="467" spans="2:3" ht="12.75" customHeight="1" x14ac:dyDescent="0.35"/>
    <row r="468" spans="2:3" ht="12.75" customHeight="1" x14ac:dyDescent="0.35"/>
    <row r="469" spans="2:3" ht="12.75" customHeight="1" x14ac:dyDescent="0.35"/>
    <row r="470" spans="2:3" ht="12.75" customHeight="1" x14ac:dyDescent="0.35"/>
    <row r="471" spans="2:3" ht="12.75" customHeight="1" x14ac:dyDescent="0.35"/>
    <row r="472" spans="2:3" ht="12.75" customHeight="1" x14ac:dyDescent="0.35">
      <c r="B472" s="97" t="s">
        <v>3507</v>
      </c>
    </row>
    <row r="473" spans="2:3" ht="12.75" customHeight="1" x14ac:dyDescent="0.35">
      <c r="B473" s="97" t="s">
        <v>3501</v>
      </c>
    </row>
    <row r="474" spans="2:3" ht="12.75" customHeight="1" x14ac:dyDescent="0.35">
      <c r="B474" s="97" t="s">
        <v>5554</v>
      </c>
    </row>
    <row r="475" spans="2:3" ht="12.75" customHeight="1" x14ac:dyDescent="0.35">
      <c r="B475" s="97" t="s">
        <v>3508</v>
      </c>
    </row>
    <row r="476" spans="2:3" ht="12.75" customHeight="1" x14ac:dyDescent="0.35">
      <c r="C476" s="97" t="s">
        <v>3505</v>
      </c>
    </row>
    <row r="477" spans="2:3" ht="12.75" customHeight="1" x14ac:dyDescent="0.35">
      <c r="C477" s="97" t="s">
        <v>3509</v>
      </c>
    </row>
    <row r="478" spans="2:3" ht="12.75" customHeight="1" x14ac:dyDescent="0.35">
      <c r="C478" s="97" t="s">
        <v>3510</v>
      </c>
    </row>
    <row r="479" spans="2:3" ht="12.75" customHeight="1" x14ac:dyDescent="0.35"/>
    <row r="480" spans="2:3" ht="12.75" customHeight="1" x14ac:dyDescent="0.35"/>
    <row r="481" spans="1:3" ht="12.75" customHeight="1" x14ac:dyDescent="0.35"/>
    <row r="482" spans="1:3" ht="12.75" customHeight="1" x14ac:dyDescent="0.35"/>
    <row r="483" spans="1:3" ht="12.75" customHeight="1" x14ac:dyDescent="0.35"/>
    <row r="484" spans="1:3" ht="12.75" customHeight="1" x14ac:dyDescent="0.35"/>
    <row r="485" spans="1:3" ht="12.75" customHeight="1" x14ac:dyDescent="0.35"/>
    <row r="486" spans="1:3" ht="12.75" customHeight="1" x14ac:dyDescent="0.35">
      <c r="A486" s="101"/>
      <c r="B486" s="97" t="s">
        <v>3511</v>
      </c>
    </row>
    <row r="487" spans="1:3" ht="12.75" customHeight="1" x14ac:dyDescent="0.35">
      <c r="A487" s="101"/>
      <c r="B487" s="1241" t="s">
        <v>5696</v>
      </c>
    </row>
    <row r="488" spans="1:3" ht="12.75" customHeight="1" x14ac:dyDescent="0.35">
      <c r="B488" s="97" t="s">
        <v>3512</v>
      </c>
    </row>
    <row r="489" spans="1:3" ht="12.75" customHeight="1" x14ac:dyDescent="0.35">
      <c r="B489" s="97" t="s">
        <v>3501</v>
      </c>
    </row>
    <row r="490" spans="1:3" ht="12.75" customHeight="1" x14ac:dyDescent="0.35">
      <c r="B490" s="97" t="s">
        <v>5339</v>
      </c>
    </row>
    <row r="491" spans="1:3" ht="12.75" customHeight="1" x14ac:dyDescent="0.35">
      <c r="B491" s="97" t="s">
        <v>2528</v>
      </c>
    </row>
    <row r="492" spans="1:3" ht="12.75" customHeight="1" x14ac:dyDescent="0.35">
      <c r="C492" s="97" t="s">
        <v>3513</v>
      </c>
    </row>
    <row r="493" spans="1:3" ht="12.75" customHeight="1" x14ac:dyDescent="0.35">
      <c r="C493" s="97" t="s">
        <v>3514</v>
      </c>
    </row>
    <row r="494" spans="1:3" ht="12.75" customHeight="1" x14ac:dyDescent="0.35">
      <c r="B494" s="97" t="s">
        <v>3515</v>
      </c>
    </row>
    <row r="495" spans="1:3" ht="12.75" customHeight="1" x14ac:dyDescent="0.35">
      <c r="B495" s="97" t="s">
        <v>3501</v>
      </c>
    </row>
    <row r="496" spans="1:3" ht="12.75" customHeight="1" x14ac:dyDescent="0.35">
      <c r="B496" s="97" t="s">
        <v>5338</v>
      </c>
    </row>
    <row r="497" spans="2:3" ht="12.75" customHeight="1" x14ac:dyDescent="0.35">
      <c r="B497" s="97" t="s">
        <v>3516</v>
      </c>
    </row>
    <row r="498" spans="2:3" ht="12.75" customHeight="1" x14ac:dyDescent="0.35">
      <c r="C498" s="97" t="s">
        <v>3516</v>
      </c>
    </row>
    <row r="499" spans="2:3" ht="12.75" customHeight="1" x14ac:dyDescent="0.35">
      <c r="C499" s="97" t="s">
        <v>3517</v>
      </c>
    </row>
    <row r="500" spans="2:3" ht="12.75" customHeight="1" x14ac:dyDescent="0.35">
      <c r="B500" s="97" t="s">
        <v>3518</v>
      </c>
    </row>
    <row r="501" spans="2:3" ht="12.75" customHeight="1" x14ac:dyDescent="0.35">
      <c r="B501" s="97" t="s">
        <v>3519</v>
      </c>
    </row>
    <row r="502" spans="2:3" ht="12.75" customHeight="1" x14ac:dyDescent="0.35">
      <c r="C502" s="97" t="s">
        <v>3520</v>
      </c>
    </row>
    <row r="503" spans="2:3" ht="12.75" customHeight="1" x14ac:dyDescent="0.35">
      <c r="C503" s="97" t="s">
        <v>3521</v>
      </c>
    </row>
    <row r="504" spans="2:3" ht="12.75" customHeight="1" x14ac:dyDescent="0.35">
      <c r="B504" s="97" t="s">
        <v>3522</v>
      </c>
    </row>
    <row r="505" spans="2:3" ht="12.75" customHeight="1" x14ac:dyDescent="0.35">
      <c r="B505" s="97" t="s">
        <v>3523</v>
      </c>
    </row>
    <row r="506" spans="2:3" ht="12.75" customHeight="1" x14ac:dyDescent="0.35">
      <c r="C506" s="97" t="s">
        <v>3524</v>
      </c>
    </row>
    <row r="507" spans="2:3" ht="12.75" customHeight="1" x14ac:dyDescent="0.35">
      <c r="C507" s="97" t="str">
        <f>IF(CalculatedDepreciation,"Inne k","K")&amp;"orekty z tyt. różnic w amort. i wart. dobrowol. rezerw"</f>
        <v>Korekty z tyt. różnic w amort. i wart. dobrowol. rezerw</v>
      </c>
    </row>
    <row r="508" spans="2:3" ht="12.75" customHeight="1" x14ac:dyDescent="0.35">
      <c r="B508" s="97" t="s">
        <v>2578</v>
      </c>
    </row>
    <row r="509" spans="2:3" ht="12.75" customHeight="1" x14ac:dyDescent="0.35">
      <c r="B509" s="97" t="s">
        <v>3525</v>
      </c>
    </row>
    <row r="510" spans="2:3" ht="12.75" customHeight="1" x14ac:dyDescent="0.35">
      <c r="B510" s="97" t="s">
        <v>3526</v>
      </c>
    </row>
    <row r="511" spans="2:3" ht="12.75" customHeight="1" x14ac:dyDescent="0.35">
      <c r="B511" s="97" t="s">
        <v>3527</v>
      </c>
    </row>
    <row r="512" spans="2:3" ht="12.75" customHeight="1" x14ac:dyDescent="0.35">
      <c r="B512" s="97" t="s">
        <v>3501</v>
      </c>
    </row>
    <row r="513" spans="2:2" ht="12.75" customHeight="1" x14ac:dyDescent="0.35">
      <c r="B513" s="97" t="s">
        <v>5555</v>
      </c>
    </row>
    <row r="514" spans="2:2" ht="12.75" customHeight="1" x14ac:dyDescent="0.35">
      <c r="B514" s="97" t="s">
        <v>3528</v>
      </c>
    </row>
    <row r="515" spans="2:2" ht="12.75" customHeight="1" x14ac:dyDescent="0.35">
      <c r="B515" s="97" t="s">
        <v>3529</v>
      </c>
    </row>
    <row r="516" spans="2:2" ht="12.75" customHeight="1" x14ac:dyDescent="0.35">
      <c r="B516" s="97" t="s">
        <v>3530</v>
      </c>
    </row>
    <row r="517" spans="2:2" ht="12.75" customHeight="1" x14ac:dyDescent="0.35">
      <c r="B517" s="97" t="s">
        <v>3531</v>
      </c>
    </row>
    <row r="518" spans="2:2" ht="12.75" customHeight="1" x14ac:dyDescent="0.35">
      <c r="B518" s="97" t="s">
        <v>3532</v>
      </c>
    </row>
    <row r="519" spans="2:2" ht="12.75" customHeight="1" x14ac:dyDescent="0.35">
      <c r="B519" s="97" t="s">
        <v>3533</v>
      </c>
    </row>
    <row r="520" spans="2:2" ht="12.75" customHeight="1" x14ac:dyDescent="0.35">
      <c r="B520" s="97" t="s">
        <v>3534</v>
      </c>
    </row>
    <row r="521" spans="2:2" ht="12.75" customHeight="1" x14ac:dyDescent="0.35"/>
    <row r="522" spans="2:2" ht="12.75" customHeight="1" x14ac:dyDescent="0.35"/>
    <row r="523" spans="2:2" ht="12.75" customHeight="1" x14ac:dyDescent="0.35">
      <c r="B523" s="97" t="s">
        <v>3535</v>
      </c>
    </row>
    <row r="524" spans="2:2" ht="12.75" customHeight="1" x14ac:dyDescent="0.35">
      <c r="B524" s="97" t="s">
        <v>3536</v>
      </c>
    </row>
    <row r="525" spans="2:2" ht="12.75" customHeight="1" x14ac:dyDescent="0.35">
      <c r="B525" s="97" t="s">
        <v>2528</v>
      </c>
    </row>
    <row r="526" spans="2:2" ht="12.75" customHeight="1" x14ac:dyDescent="0.35">
      <c r="B526" s="97" t="s">
        <v>3537</v>
      </c>
    </row>
    <row r="527" spans="2:2" ht="12.75" customHeight="1" x14ac:dyDescent="0.35">
      <c r="B527" s="97" t="s">
        <v>3538</v>
      </c>
    </row>
    <row r="528" spans="2:2" ht="12.75" customHeight="1" x14ac:dyDescent="0.35">
      <c r="B528" s="97" t="s">
        <v>3539</v>
      </c>
    </row>
    <row r="529" spans="2:2" ht="12.75" customHeight="1" x14ac:dyDescent="0.35">
      <c r="B529" s="97" t="s">
        <v>3526</v>
      </c>
    </row>
    <row r="530" spans="2:2" ht="12.75" customHeight="1" x14ac:dyDescent="0.35">
      <c r="B530" s="97" t="s">
        <v>3540</v>
      </c>
    </row>
    <row r="531" spans="2:2" ht="12.75" customHeight="1" x14ac:dyDescent="0.35">
      <c r="B531" s="97" t="s">
        <v>3541</v>
      </c>
    </row>
    <row r="532" spans="2:2" ht="12.75" customHeight="1" x14ac:dyDescent="0.35">
      <c r="B532" s="97" t="s">
        <v>3542</v>
      </c>
    </row>
    <row r="533" spans="2:2" ht="12.75" customHeight="1" x14ac:dyDescent="0.35">
      <c r="B533" s="97" t="s">
        <v>3543</v>
      </c>
    </row>
    <row r="534" spans="2:2" ht="12.75" customHeight="1" x14ac:dyDescent="0.35">
      <c r="B534" s="97" t="s">
        <v>3544</v>
      </c>
    </row>
    <row r="535" spans="2:2" ht="12.75" customHeight="1" x14ac:dyDescent="0.35">
      <c r="B535" s="97" t="s">
        <v>3545</v>
      </c>
    </row>
    <row r="536" spans="2:2" ht="12.75" customHeight="1" x14ac:dyDescent="0.35">
      <c r="B536" s="97" t="s">
        <v>3546</v>
      </c>
    </row>
    <row r="537" spans="2:2" ht="12.75" customHeight="1" x14ac:dyDescent="0.35"/>
    <row r="538" spans="2:2" ht="12.75" customHeight="1" x14ac:dyDescent="0.35"/>
    <row r="539" spans="2:2" ht="12.75" customHeight="1" x14ac:dyDescent="0.35"/>
    <row r="540" spans="2:2" ht="12.75" customHeight="1" x14ac:dyDescent="0.35"/>
    <row r="541" spans="2:2" ht="12.75" customHeight="1" x14ac:dyDescent="0.35"/>
    <row r="542" spans="2:2" ht="12.75" customHeight="1" x14ac:dyDescent="0.35">
      <c r="B542" s="97" t="s">
        <v>3547</v>
      </c>
    </row>
    <row r="543" spans="2:2" ht="12.75" customHeight="1" x14ac:dyDescent="0.35"/>
    <row r="544" spans="2:2" ht="12.75" customHeight="1" x14ac:dyDescent="0.35">
      <c r="B544" s="97" t="s">
        <v>3454</v>
      </c>
    </row>
    <row r="545" spans="2:4" ht="12.75" customHeight="1" x14ac:dyDescent="0.35">
      <c r="B545" s="97" t="s">
        <v>3548</v>
      </c>
    </row>
    <row r="546" spans="2:4" ht="12.75" customHeight="1" x14ac:dyDescent="0.35">
      <c r="C546" s="159" t="s">
        <v>3549</v>
      </c>
      <c r="D546"/>
    </row>
    <row r="547" spans="2:4" ht="12.75" customHeight="1" x14ac:dyDescent="0.35">
      <c r="C547" s="159" t="s">
        <v>3550</v>
      </c>
      <c r="D547"/>
    </row>
    <row r="548" spans="2:4" ht="12.75" customHeight="1" x14ac:dyDescent="0.35">
      <c r="C548" s="159" t="s">
        <v>3551</v>
      </c>
      <c r="D548"/>
    </row>
    <row r="549" spans="2:4" ht="12.75" customHeight="1" x14ac:dyDescent="0.35">
      <c r="C549" s="159" t="s">
        <v>3552</v>
      </c>
      <c r="D549"/>
    </row>
    <row r="550" spans="2:4" ht="12.75" customHeight="1" x14ac:dyDescent="0.35">
      <c r="C550" s="159" t="s">
        <v>3549</v>
      </c>
      <c r="D550"/>
    </row>
    <row r="551" spans="2:4" ht="12.75" customHeight="1" x14ac:dyDescent="0.35">
      <c r="C551" s="159" t="s">
        <v>5483</v>
      </c>
      <c r="D551"/>
    </row>
    <row r="552" spans="2:4" ht="12.75" customHeight="1" x14ac:dyDescent="0.35">
      <c r="C552" s="159" t="s">
        <v>3551</v>
      </c>
      <c r="D552"/>
    </row>
    <row r="553" spans="2:4" ht="12.75" customHeight="1" x14ac:dyDescent="0.35">
      <c r="C553" s="159" t="s">
        <v>3552</v>
      </c>
      <c r="D553"/>
    </row>
    <row r="554" spans="2:4" ht="12.75" customHeight="1" x14ac:dyDescent="0.35">
      <c r="C554" s="159" t="s">
        <v>3549</v>
      </c>
      <c r="D554"/>
    </row>
    <row r="555" spans="2:4" ht="12.75" customHeight="1" x14ac:dyDescent="0.35">
      <c r="C555" s="159" t="s">
        <v>5484</v>
      </c>
      <c r="D555"/>
    </row>
    <row r="556" spans="2:4" ht="12.75" customHeight="1" x14ac:dyDescent="0.35">
      <c r="C556" s="159" t="s">
        <v>3551</v>
      </c>
      <c r="D556"/>
    </row>
    <row r="557" spans="2:4" ht="12.75" customHeight="1" x14ac:dyDescent="0.35">
      <c r="C557" s="159" t="s">
        <v>3552</v>
      </c>
      <c r="D557"/>
    </row>
    <row r="558" spans="2:4" ht="12.75" customHeight="1" x14ac:dyDescent="0.35">
      <c r="C558" s="159" t="s">
        <v>3549</v>
      </c>
      <c r="D558"/>
    </row>
    <row r="559" spans="2:4" ht="12.75" customHeight="1" x14ac:dyDescent="0.35">
      <c r="C559" s="159" t="s">
        <v>5485</v>
      </c>
      <c r="D559"/>
    </row>
    <row r="560" spans="2:4" ht="12.75" customHeight="1" x14ac:dyDescent="0.35">
      <c r="C560" s="159" t="s">
        <v>3551</v>
      </c>
      <c r="D560"/>
    </row>
    <row r="561" spans="2:4" ht="12.75" customHeight="1" x14ac:dyDescent="0.35">
      <c r="C561" s="159" t="s">
        <v>3552</v>
      </c>
      <c r="D561"/>
    </row>
    <row r="562" spans="2:4" ht="12.75" customHeight="1" x14ac:dyDescent="0.35">
      <c r="C562" s="159" t="s">
        <v>3549</v>
      </c>
      <c r="D562"/>
    </row>
    <row r="563" spans="2:4" ht="12.75" customHeight="1" x14ac:dyDescent="0.35">
      <c r="C563" s="159" t="s">
        <v>5486</v>
      </c>
      <c r="D563"/>
    </row>
    <row r="564" spans="2:4" ht="12.75" customHeight="1" x14ac:dyDescent="0.35">
      <c r="C564" s="159" t="s">
        <v>3551</v>
      </c>
      <c r="D564"/>
    </row>
    <row r="565" spans="2:4" ht="12.75" customHeight="1" x14ac:dyDescent="0.35">
      <c r="C565" s="159" t="s">
        <v>3552</v>
      </c>
      <c r="D565"/>
    </row>
    <row r="566" spans="2:4" ht="12.75" customHeight="1" x14ac:dyDescent="0.35">
      <c r="C566" s="1241" t="s">
        <v>5697</v>
      </c>
      <c r="D566"/>
    </row>
    <row r="567" spans="2:4" ht="12.75" customHeight="1" x14ac:dyDescent="0.35">
      <c r="C567" s="1241" t="s">
        <v>5698</v>
      </c>
      <c r="D567"/>
    </row>
    <row r="568" spans="2:4" ht="12.75" customHeight="1" x14ac:dyDescent="0.35">
      <c r="C568" s="97" t="s">
        <v>3553</v>
      </c>
      <c r="D568"/>
    </row>
    <row r="569" spans="2:4" ht="12.75" customHeight="1" x14ac:dyDescent="0.35">
      <c r="C569" s="97" t="s">
        <v>3554</v>
      </c>
      <c r="D569"/>
    </row>
    <row r="570" spans="2:4" ht="12.75" customHeight="1" x14ac:dyDescent="0.35">
      <c r="C570" s="1241" t="s">
        <v>5699</v>
      </c>
      <c r="D570"/>
    </row>
    <row r="571" spans="2:4" ht="12.75" customHeight="1" x14ac:dyDescent="0.35">
      <c r="C571" s="1241" t="s">
        <v>5700</v>
      </c>
      <c r="D571"/>
    </row>
    <row r="572" spans="2:4" ht="12.75" customHeight="1" x14ac:dyDescent="0.35">
      <c r="C572" s="97" t="s">
        <v>3555</v>
      </c>
      <c r="D572"/>
    </row>
    <row r="573" spans="2:4" ht="12.75" customHeight="1" x14ac:dyDescent="0.35">
      <c r="C573" s="97" t="s">
        <v>3556</v>
      </c>
      <c r="D573"/>
    </row>
    <row r="574" spans="2:4" ht="12.75" customHeight="1" x14ac:dyDescent="0.35">
      <c r="C574" s="97" t="s">
        <v>3557</v>
      </c>
      <c r="D574"/>
    </row>
    <row r="575" spans="2:4" ht="12.75" customHeight="1" x14ac:dyDescent="0.35">
      <c r="B575" s="97" t="s">
        <v>3558</v>
      </c>
      <c r="D575"/>
    </row>
    <row r="576" spans="2:4" ht="12.75" customHeight="1" x14ac:dyDescent="0.35">
      <c r="C576" s="159" t="s">
        <v>3560</v>
      </c>
      <c r="D576"/>
    </row>
    <row r="577" spans="3:4" ht="12.75" customHeight="1" x14ac:dyDescent="0.35">
      <c r="C577" s="159" t="s">
        <v>3558</v>
      </c>
      <c r="D577"/>
    </row>
    <row r="578" spans="3:4" ht="12.75" customHeight="1" x14ac:dyDescent="0.35">
      <c r="C578" s="159" t="s">
        <v>5499</v>
      </c>
      <c r="D578"/>
    </row>
    <row r="579" spans="3:4" ht="12.75" customHeight="1" x14ac:dyDescent="0.35">
      <c r="C579" s="159" t="s">
        <v>3559</v>
      </c>
      <c r="D579"/>
    </row>
    <row r="580" spans="3:4" ht="12.75" customHeight="1" x14ac:dyDescent="0.35">
      <c r="C580" s="159" t="s">
        <v>3560</v>
      </c>
      <c r="D580"/>
    </row>
    <row r="581" spans="3:4" ht="12.75" customHeight="1" x14ac:dyDescent="0.35">
      <c r="C581" s="159" t="s">
        <v>5487</v>
      </c>
      <c r="D581"/>
    </row>
    <row r="582" spans="3:4" ht="12.75" customHeight="1" x14ac:dyDescent="0.35">
      <c r="C582" s="159" t="s">
        <v>5499</v>
      </c>
      <c r="D582"/>
    </row>
    <row r="583" spans="3:4" ht="12.75" customHeight="1" x14ac:dyDescent="0.35">
      <c r="C583" s="159" t="s">
        <v>3559</v>
      </c>
      <c r="D583"/>
    </row>
    <row r="584" spans="3:4" ht="12.75" customHeight="1" x14ac:dyDescent="0.35">
      <c r="C584" s="159" t="s">
        <v>3560</v>
      </c>
      <c r="D584"/>
    </row>
    <row r="585" spans="3:4" ht="12.75" customHeight="1" x14ac:dyDescent="0.35">
      <c r="C585" s="159" t="s">
        <v>5488</v>
      </c>
      <c r="D585"/>
    </row>
    <row r="586" spans="3:4" ht="12.75" customHeight="1" x14ac:dyDescent="0.35">
      <c r="C586" s="159" t="s">
        <v>5499</v>
      </c>
      <c r="D586"/>
    </row>
    <row r="587" spans="3:4" ht="12.75" customHeight="1" x14ac:dyDescent="0.35">
      <c r="C587" s="159" t="s">
        <v>3559</v>
      </c>
      <c r="D587"/>
    </row>
    <row r="588" spans="3:4" ht="12.75" customHeight="1" x14ac:dyDescent="0.35">
      <c r="C588" s="159" t="s">
        <v>3560</v>
      </c>
      <c r="D588"/>
    </row>
    <row r="589" spans="3:4" ht="12.75" customHeight="1" x14ac:dyDescent="0.35">
      <c r="C589" s="159" t="s">
        <v>5489</v>
      </c>
      <c r="D589"/>
    </row>
    <row r="590" spans="3:4" ht="12.75" customHeight="1" x14ac:dyDescent="0.35">
      <c r="C590" s="159" t="s">
        <v>5499</v>
      </c>
      <c r="D590"/>
    </row>
    <row r="591" spans="3:4" ht="12.75" customHeight="1" x14ac:dyDescent="0.35">
      <c r="C591" s="159" t="s">
        <v>3559</v>
      </c>
      <c r="D591"/>
    </row>
    <row r="592" spans="3:4" ht="12.75" customHeight="1" x14ac:dyDescent="0.35">
      <c r="C592" s="159" t="s">
        <v>3560</v>
      </c>
      <c r="D592"/>
    </row>
    <row r="593" spans="2:4" ht="12.75" customHeight="1" x14ac:dyDescent="0.35">
      <c r="C593" s="159" t="s">
        <v>5490</v>
      </c>
      <c r="D593"/>
    </row>
    <row r="594" spans="2:4" ht="12.75" customHeight="1" x14ac:dyDescent="0.35">
      <c r="C594" s="159" t="s">
        <v>5499</v>
      </c>
      <c r="D594"/>
    </row>
    <row r="595" spans="2:4" ht="12.75" customHeight="1" x14ac:dyDescent="0.35">
      <c r="C595" s="159" t="s">
        <v>3559</v>
      </c>
      <c r="D595"/>
    </row>
    <row r="596" spans="2:4" ht="12.75" customHeight="1" x14ac:dyDescent="0.35">
      <c r="C596" s="97" t="s">
        <v>3559</v>
      </c>
      <c r="D596"/>
    </row>
    <row r="597" spans="2:4" ht="12.75" customHeight="1" x14ac:dyDescent="0.35">
      <c r="B597" s="97" t="s">
        <v>3561</v>
      </c>
      <c r="D597"/>
    </row>
    <row r="598" spans="2:4" ht="12.75" customHeight="1" x14ac:dyDescent="0.35">
      <c r="C598" s="97" t="s">
        <v>3562</v>
      </c>
      <c r="D598"/>
    </row>
    <row r="599" spans="2:4" ht="12.75" customHeight="1" x14ac:dyDescent="0.35">
      <c r="C599" s="159" t="s">
        <v>3563</v>
      </c>
      <c r="D599"/>
    </row>
    <row r="600" spans="2:4" ht="12.75" customHeight="1" x14ac:dyDescent="0.35">
      <c r="C600" s="97" t="s">
        <v>3564</v>
      </c>
      <c r="D600"/>
    </row>
    <row r="601" spans="2:4" ht="12.75" customHeight="1" x14ac:dyDescent="0.35">
      <c r="C601" s="97" t="s">
        <v>3565</v>
      </c>
      <c r="D601"/>
    </row>
    <row r="602" spans="2:4" ht="12.75" customHeight="1" x14ac:dyDescent="0.35">
      <c r="C602" s="97" t="s">
        <v>3562</v>
      </c>
      <c r="D602"/>
    </row>
    <row r="603" spans="2:4" ht="12.75" customHeight="1" x14ac:dyDescent="0.35">
      <c r="C603" s="159" t="s">
        <v>5431</v>
      </c>
      <c r="D603"/>
    </row>
    <row r="604" spans="2:4" ht="12.75" customHeight="1" x14ac:dyDescent="0.35">
      <c r="C604" s="97" t="s">
        <v>3564</v>
      </c>
      <c r="D604"/>
    </row>
    <row r="605" spans="2:4" ht="12.75" customHeight="1" x14ac:dyDescent="0.35">
      <c r="C605" s="97" t="s">
        <v>3565</v>
      </c>
      <c r="D605"/>
    </row>
    <row r="606" spans="2:4" ht="12.75" customHeight="1" x14ac:dyDescent="0.35">
      <c r="C606" s="97" t="s">
        <v>3562</v>
      </c>
      <c r="D606"/>
    </row>
    <row r="607" spans="2:4" ht="12.75" customHeight="1" x14ac:dyDescent="0.35">
      <c r="C607" s="159" t="s">
        <v>5432</v>
      </c>
      <c r="D607"/>
    </row>
    <row r="608" spans="2:4" ht="12.75" customHeight="1" x14ac:dyDescent="0.35">
      <c r="C608" s="97" t="s">
        <v>3564</v>
      </c>
      <c r="D608"/>
    </row>
    <row r="609" spans="3:4" ht="12.75" customHeight="1" x14ac:dyDescent="0.35">
      <c r="C609" s="97" t="s">
        <v>3565</v>
      </c>
      <c r="D609"/>
    </row>
    <row r="610" spans="3:4" ht="12.75" customHeight="1" x14ac:dyDescent="0.35">
      <c r="C610" s="97" t="s">
        <v>3562</v>
      </c>
      <c r="D610"/>
    </row>
    <row r="611" spans="3:4" ht="12.75" customHeight="1" x14ac:dyDescent="0.35">
      <c r="C611" s="159" t="s">
        <v>5433</v>
      </c>
      <c r="D611"/>
    </row>
    <row r="612" spans="3:4" ht="12.75" customHeight="1" x14ac:dyDescent="0.35">
      <c r="C612" s="97" t="s">
        <v>3564</v>
      </c>
      <c r="D612"/>
    </row>
    <row r="613" spans="3:4" ht="12.75" customHeight="1" x14ac:dyDescent="0.35">
      <c r="C613" s="97" t="s">
        <v>3565</v>
      </c>
      <c r="D613"/>
    </row>
    <row r="614" spans="3:4" ht="12.75" customHeight="1" x14ac:dyDescent="0.35">
      <c r="C614" s="97" t="s">
        <v>3562</v>
      </c>
      <c r="D614"/>
    </row>
    <row r="615" spans="3:4" ht="12.75" customHeight="1" x14ac:dyDescent="0.35">
      <c r="C615" s="159" t="s">
        <v>5434</v>
      </c>
      <c r="D615"/>
    </row>
    <row r="616" spans="3:4" ht="12.75" customHeight="1" x14ac:dyDescent="0.35">
      <c r="C616" s="97" t="s">
        <v>3564</v>
      </c>
      <c r="D616"/>
    </row>
    <row r="617" spans="3:4" ht="12.75" customHeight="1" x14ac:dyDescent="0.35">
      <c r="C617" s="97" t="s">
        <v>3565</v>
      </c>
      <c r="D617"/>
    </row>
    <row r="618" spans="3:4" ht="12.75" customHeight="1" x14ac:dyDescent="0.35">
      <c r="C618" s="116" t="s">
        <v>6211</v>
      </c>
      <c r="D618"/>
    </row>
    <row r="619" spans="3:4" ht="12.75" customHeight="1" x14ac:dyDescent="0.35">
      <c r="C619" s="1241" t="s">
        <v>5701</v>
      </c>
      <c r="D619"/>
    </row>
    <row r="620" spans="3:4" ht="12.75" customHeight="1" x14ac:dyDescent="0.35">
      <c r="C620" s="97" t="s">
        <v>3566</v>
      </c>
      <c r="D620"/>
    </row>
    <row r="621" spans="3:4" ht="12.75" customHeight="1" x14ac:dyDescent="0.35">
      <c r="C621" s="97" t="s">
        <v>3567</v>
      </c>
      <c r="D621"/>
    </row>
    <row r="622" spans="3:4" ht="12.75" customHeight="1" x14ac:dyDescent="0.35">
      <c r="C622" s="1241" t="s">
        <v>5702</v>
      </c>
      <c r="D622"/>
    </row>
    <row r="623" spans="3:4" ht="12.75" customHeight="1" x14ac:dyDescent="0.35">
      <c r="C623" s="1241" t="s">
        <v>5703</v>
      </c>
      <c r="D623"/>
    </row>
    <row r="624" spans="3:4" ht="12.75" customHeight="1" x14ac:dyDescent="0.35">
      <c r="C624" s="97" t="s">
        <v>3568</v>
      </c>
      <c r="D624"/>
    </row>
    <row r="625" spans="2:3" ht="12.75" customHeight="1" x14ac:dyDescent="0.35">
      <c r="B625" s="97" t="s">
        <v>3569</v>
      </c>
    </row>
    <row r="626" spans="2:3" ht="12.75" customHeight="1" x14ac:dyDescent="0.35">
      <c r="B626" s="97" t="s">
        <v>3570</v>
      </c>
    </row>
    <row r="627" spans="2:3" ht="12.75" customHeight="1" x14ac:dyDescent="0.35"/>
    <row r="628" spans="2:3" ht="12.75" customHeight="1" x14ac:dyDescent="0.35"/>
    <row r="629" spans="2:3" ht="12.75" customHeight="1" x14ac:dyDescent="0.35"/>
    <row r="630" spans="2:3" ht="12.75" customHeight="1" x14ac:dyDescent="0.35">
      <c r="B630" s="97" t="s">
        <v>3571</v>
      </c>
    </row>
    <row r="631" spans="2:3" ht="12.75" customHeight="1" x14ac:dyDescent="0.35"/>
    <row r="632" spans="2:3" ht="12.75" customHeight="1" x14ac:dyDescent="0.35">
      <c r="B632" s="97" t="s">
        <v>3454</v>
      </c>
    </row>
    <row r="633" spans="2:3" ht="12.75" customHeight="1" x14ac:dyDescent="0.35">
      <c r="B633" s="97" t="s">
        <v>3572</v>
      </c>
    </row>
    <row r="634" spans="2:3" ht="12.75" customHeight="1" x14ac:dyDescent="0.35">
      <c r="C634" s="97" t="s">
        <v>3500</v>
      </c>
    </row>
    <row r="635" spans="2:3" ht="12.75" customHeight="1" x14ac:dyDescent="0.35"/>
    <row r="636" spans="2:3" ht="12.75" customHeight="1" x14ac:dyDescent="0.35"/>
    <row r="637" spans="2:3" ht="12.75" customHeight="1" x14ac:dyDescent="0.35"/>
    <row r="638" spans="2:3" ht="12.75" customHeight="1" x14ac:dyDescent="0.35"/>
    <row r="639" spans="2:3" ht="12.75" customHeight="1" x14ac:dyDescent="0.35"/>
    <row r="640" spans="2:3" ht="12.75" customHeight="1" x14ac:dyDescent="0.35"/>
    <row r="641" spans="3:3" ht="12.75" customHeight="1" x14ac:dyDescent="0.35"/>
    <row r="642" spans="3:3" ht="12.75" customHeight="1" x14ac:dyDescent="0.35"/>
    <row r="643" spans="3:3" ht="12.75" customHeight="1" x14ac:dyDescent="0.35"/>
    <row r="644" spans="3:3" ht="12.75" customHeight="1" x14ac:dyDescent="0.35"/>
    <row r="645" spans="3:3" ht="12.75" customHeight="1" x14ac:dyDescent="0.35">
      <c r="C645" s="97" t="s">
        <v>3502</v>
      </c>
    </row>
    <row r="646" spans="3:3" ht="12.75" customHeight="1" x14ac:dyDescent="0.35"/>
    <row r="647" spans="3:3" ht="12.75" customHeight="1" x14ac:dyDescent="0.35"/>
    <row r="648" spans="3:3" ht="12.75" customHeight="1" x14ac:dyDescent="0.35"/>
    <row r="649" spans="3:3" ht="12.75" customHeight="1" x14ac:dyDescent="0.35"/>
    <row r="650" spans="3:3" ht="12.75" customHeight="1" x14ac:dyDescent="0.35"/>
    <row r="651" spans="3:3" ht="12.75" customHeight="1" x14ac:dyDescent="0.35"/>
    <row r="652" spans="3:3" ht="12.75" customHeight="1" x14ac:dyDescent="0.35"/>
    <row r="653" spans="3:3" ht="12.75" customHeight="1" x14ac:dyDescent="0.35"/>
    <row r="654" spans="3:3" ht="12.75" customHeight="1" x14ac:dyDescent="0.35"/>
    <row r="655" spans="3:3" ht="12.75" customHeight="1" x14ac:dyDescent="0.35"/>
    <row r="656" spans="3:3" ht="12.75" customHeight="1" x14ac:dyDescent="0.35">
      <c r="C656" s="97" t="s">
        <v>3508</v>
      </c>
    </row>
    <row r="657" spans="3:3" ht="12.75" customHeight="1" x14ac:dyDescent="0.35"/>
    <row r="658" spans="3:3" ht="12.75" customHeight="1" x14ac:dyDescent="0.35"/>
    <row r="659" spans="3:3" ht="12.75" customHeight="1" x14ac:dyDescent="0.35"/>
    <row r="660" spans="3:3" ht="12.75" customHeight="1" x14ac:dyDescent="0.35"/>
    <row r="661" spans="3:3" ht="12.75" customHeight="1" x14ac:dyDescent="0.35"/>
    <row r="662" spans="3:3" ht="12.75" customHeight="1" x14ac:dyDescent="0.35"/>
    <row r="663" spans="3:3" ht="12.75" customHeight="1" x14ac:dyDescent="0.35"/>
    <row r="664" spans="3:3" ht="12.75" customHeight="1" x14ac:dyDescent="0.35"/>
    <row r="665" spans="3:3" ht="12.75" customHeight="1" x14ac:dyDescent="0.35"/>
    <row r="666" spans="3:3" ht="12.75" customHeight="1" x14ac:dyDescent="0.35"/>
    <row r="667" spans="3:3" ht="12.75" customHeight="1" x14ac:dyDescent="0.35">
      <c r="C667" s="97" t="s">
        <v>3519</v>
      </c>
    </row>
    <row r="668" spans="3:3" ht="12.75" customHeight="1" x14ac:dyDescent="0.35"/>
    <row r="669" spans="3:3" ht="12.75" customHeight="1" x14ac:dyDescent="0.35">
      <c r="C669" s="97" t="s">
        <v>3569</v>
      </c>
    </row>
    <row r="670" spans="3:3" ht="12.75" customHeight="1" x14ac:dyDescent="0.35"/>
    <row r="671" spans="3:3" ht="12.75" customHeight="1" x14ac:dyDescent="0.35"/>
    <row r="672" spans="3:3" ht="12.75" customHeight="1" x14ac:dyDescent="0.35"/>
    <row r="673" spans="2:3" ht="12.75" customHeight="1" x14ac:dyDescent="0.35">
      <c r="B673" s="97" t="s">
        <v>3572</v>
      </c>
    </row>
    <row r="674" spans="2:3" ht="12.75" customHeight="1" x14ac:dyDescent="0.35">
      <c r="B674" s="97" t="s">
        <v>3573</v>
      </c>
    </row>
    <row r="675" spans="2:3" ht="12.75" customHeight="1" x14ac:dyDescent="0.35">
      <c r="B675" s="97" t="s">
        <v>3574</v>
      </c>
    </row>
    <row r="676" spans="2:3" ht="12.75" customHeight="1" x14ac:dyDescent="0.35">
      <c r="B676" s="97" t="s">
        <v>3575</v>
      </c>
    </row>
    <row r="677" spans="2:3" ht="12.75" customHeight="1" x14ac:dyDescent="0.35">
      <c r="C677" s="97" t="s">
        <v>3576</v>
      </c>
    </row>
    <row r="678" spans="2:3" ht="12.75" customHeight="1" x14ac:dyDescent="0.35"/>
    <row r="679" spans="2:3" ht="12.75" customHeight="1" x14ac:dyDescent="0.35">
      <c r="C679" s="97" t="s">
        <v>2578</v>
      </c>
    </row>
    <row r="680" spans="2:3" ht="12.75" customHeight="1" x14ac:dyDescent="0.35">
      <c r="B680" s="97" t="str">
        <f>"Wolne przepływy pieniężne "&amp;IF(FCFEinUse&lt;&gt;1,"(FCF)","dla firmy (FCFF)")</f>
        <v>Wolne przepływy pieniężne (FCF)</v>
      </c>
    </row>
    <row r="681" spans="2:3" ht="12.75" customHeight="1" x14ac:dyDescent="0.35">
      <c r="B681" s="97" t="str">
        <f>"Zdyskontowane wolne przepływy pieniężne "&amp;IF(FCFEinUse&lt;&gt;1,"(DFCF)","dla firmy (DFCFF)")</f>
        <v>Zdyskontowane wolne przepływy pieniężne (DFCF)</v>
      </c>
    </row>
    <row r="682" spans="2:3" ht="12.75" customHeight="1" x14ac:dyDescent="0.35">
      <c r="B682" s="97" t="str">
        <f>"Skumulowane zdyskont. wolne przepływy pieniężne"&amp;IF(FCFEinUse&lt;&gt;1,""," dla firmy")</f>
        <v>Skumulowane zdyskont. wolne przepływy pieniężne</v>
      </c>
    </row>
    <row r="683" spans="2:3" ht="12.75" customHeight="1" x14ac:dyDescent="0.35">
      <c r="B683" s="97" t="s">
        <v>3577</v>
      </c>
    </row>
    <row r="684" spans="2:3" ht="12.75" customHeight="1" x14ac:dyDescent="0.35">
      <c r="B684" s="97" t="s">
        <v>3578</v>
      </c>
    </row>
    <row r="685" spans="2:3" ht="12.75" customHeight="1" x14ac:dyDescent="0.35">
      <c r="B685" s="97" t="s">
        <v>3579</v>
      </c>
    </row>
    <row r="686" spans="2:3" ht="12.75" customHeight="1" x14ac:dyDescent="0.35">
      <c r="B686" s="97" t="s">
        <v>3580</v>
      </c>
    </row>
    <row r="687" spans="2:3" ht="12.75" customHeight="1" x14ac:dyDescent="0.35">
      <c r="C687" s="97" t="s">
        <v>3516</v>
      </c>
    </row>
    <row r="688" spans="2:3" ht="12.75" customHeight="1" x14ac:dyDescent="0.35">
      <c r="C688" s="97" t="s">
        <v>3581</v>
      </c>
    </row>
    <row r="689" spans="2:3" ht="12.75" customHeight="1" x14ac:dyDescent="0.35">
      <c r="C689" s="97" t="s">
        <v>3582</v>
      </c>
    </row>
    <row r="690" spans="2:3" ht="12.75" customHeight="1" x14ac:dyDescent="0.35">
      <c r="C690" s="97" t="s">
        <v>3583</v>
      </c>
    </row>
    <row r="691" spans="2:3" ht="12.75" customHeight="1" x14ac:dyDescent="0.35">
      <c r="C691" s="97" t="str">
        <f>C689</f>
        <v>Zobowiązania długoterminowe, wzrost (+) / spadek (-)</v>
      </c>
    </row>
    <row r="692" spans="2:3" ht="12.75" customHeight="1" x14ac:dyDescent="0.35">
      <c r="C692" s="97" t="s">
        <v>3584</v>
      </c>
    </row>
    <row r="693" spans="2:3" ht="12.75" customHeight="1" x14ac:dyDescent="0.35">
      <c r="C693" s="97" t="s">
        <v>3585</v>
      </c>
    </row>
    <row r="694" spans="2:3" ht="12.75" customHeight="1" x14ac:dyDescent="0.35">
      <c r="C694" s="1241" t="s">
        <v>5704</v>
      </c>
    </row>
    <row r="695" spans="2:3" ht="12.75" customHeight="1" x14ac:dyDescent="0.35">
      <c r="C695" s="97" t="s">
        <v>3586</v>
      </c>
    </row>
    <row r="696" spans="2:3" ht="12.75" customHeight="1" x14ac:dyDescent="0.35">
      <c r="C696" s="97" t="s">
        <v>3587</v>
      </c>
    </row>
    <row r="697" spans="2:3" ht="12.75" customHeight="1" x14ac:dyDescent="0.35">
      <c r="B697" s="97" t="s">
        <v>3588</v>
      </c>
    </row>
    <row r="698" spans="2:3" ht="12.75" customHeight="1" x14ac:dyDescent="0.35">
      <c r="B698" s="97" t="s">
        <v>3589</v>
      </c>
    </row>
    <row r="699" spans="2:3" ht="12.75" customHeight="1" x14ac:dyDescent="0.35">
      <c r="B699" s="97" t="s">
        <v>3590</v>
      </c>
    </row>
    <row r="700" spans="2:3" ht="12.75" customHeight="1" x14ac:dyDescent="0.35">
      <c r="B700" s="97" t="s">
        <v>3591</v>
      </c>
    </row>
    <row r="701" spans="2:3" ht="12.75" customHeight="1" x14ac:dyDescent="0.35">
      <c r="C701" s="97" t="s">
        <v>3592</v>
      </c>
    </row>
    <row r="702" spans="2:3" ht="12.75" customHeight="1" x14ac:dyDescent="0.35">
      <c r="C702" s="97" t="s">
        <v>3593</v>
      </c>
    </row>
    <row r="703" spans="2:3" ht="12.75" customHeight="1" x14ac:dyDescent="0.35">
      <c r="C703" s="97" t="s">
        <v>3594</v>
      </c>
    </row>
    <row r="704" spans="2:3" ht="12.75" customHeight="1" x14ac:dyDescent="0.35">
      <c r="C704" s="97" t="s">
        <v>3595</v>
      </c>
    </row>
    <row r="705" spans="2:4" ht="12.75" customHeight="1" x14ac:dyDescent="0.35">
      <c r="C705" s="97" t="s">
        <v>3596</v>
      </c>
    </row>
    <row r="706" spans="2:4" ht="12.75" customHeight="1" x14ac:dyDescent="0.35">
      <c r="B706" s="101"/>
      <c r="C706" s="97" t="s">
        <v>3597</v>
      </c>
    </row>
    <row r="707" spans="2:4" ht="12.75" customHeight="1" x14ac:dyDescent="0.35">
      <c r="B707" s="97" t="s">
        <v>3598</v>
      </c>
    </row>
    <row r="708" spans="2:4" ht="12.75" customHeight="1" x14ac:dyDescent="0.35">
      <c r="B708" s="97" t="s">
        <v>3599</v>
      </c>
    </row>
    <row r="709" spans="2:4" ht="12.75" customHeight="1" x14ac:dyDescent="0.35"/>
    <row r="710" spans="2:4" ht="12.75" customHeight="1" x14ac:dyDescent="0.35"/>
    <row r="711" spans="2:4" ht="12.75" customHeight="1" x14ac:dyDescent="0.35"/>
    <row r="712" spans="2:4" ht="12.75" customHeight="1" x14ac:dyDescent="0.35">
      <c r="B712" s="97" t="s">
        <v>3600</v>
      </c>
    </row>
    <row r="713" spans="2:4" ht="12.75" customHeight="1" x14ac:dyDescent="0.35"/>
    <row r="714" spans="2:4" ht="12.75" customHeight="1" x14ac:dyDescent="0.35">
      <c r="B714" s="97" t="s">
        <v>3454</v>
      </c>
    </row>
    <row r="715" spans="2:4" ht="12.75" customHeight="1" x14ac:dyDescent="0.35">
      <c r="B715" s="97" t="s">
        <v>3601</v>
      </c>
      <c r="D715" s="97" t="s">
        <v>3602</v>
      </c>
    </row>
    <row r="716" spans="2:4" ht="12.75" customHeight="1" x14ac:dyDescent="0.35">
      <c r="B716" s="97" t="s">
        <v>3603</v>
      </c>
    </row>
    <row r="717" spans="2:4" ht="12.75" customHeight="1" x14ac:dyDescent="0.35">
      <c r="C717" s="97" t="s">
        <v>3604</v>
      </c>
    </row>
    <row r="718" spans="2:4" ht="12.75" customHeight="1" x14ac:dyDescent="0.35">
      <c r="C718" s="97" t="s">
        <v>3605</v>
      </c>
    </row>
    <row r="719" spans="2:4" ht="12.75" customHeight="1" x14ac:dyDescent="0.35">
      <c r="C719" s="97" t="s">
        <v>3606</v>
      </c>
    </row>
    <row r="720" spans="2:4" ht="12.75" customHeight="1" x14ac:dyDescent="0.35">
      <c r="C720" s="97" t="s">
        <v>3605</v>
      </c>
    </row>
    <row r="721" spans="2:3" ht="12.75" customHeight="1" x14ac:dyDescent="0.35">
      <c r="C721" s="97" t="s">
        <v>3607</v>
      </c>
    </row>
    <row r="722" spans="2:3" ht="12.75" customHeight="1" x14ac:dyDescent="0.35">
      <c r="C722" s="97" t="s">
        <v>3608</v>
      </c>
    </row>
    <row r="723" spans="2:3" ht="12.75" customHeight="1" x14ac:dyDescent="0.35">
      <c r="C723" s="97" t="s">
        <v>3609</v>
      </c>
    </row>
    <row r="724" spans="2:3" ht="12.75" customHeight="1" x14ac:dyDescent="0.35">
      <c r="C724" s="97" t="s">
        <v>3608</v>
      </c>
    </row>
    <row r="725" spans="2:3" ht="12.75" customHeight="1" x14ac:dyDescent="0.35">
      <c r="C725" s="97" t="s">
        <v>3607</v>
      </c>
    </row>
    <row r="726" spans="2:3" ht="12.75" customHeight="1" x14ac:dyDescent="0.35">
      <c r="C726" s="97" t="s">
        <v>3610</v>
      </c>
    </row>
    <row r="727" spans="2:3" ht="12.75" customHeight="1" x14ac:dyDescent="0.35">
      <c r="C727" s="97" t="s">
        <v>3611</v>
      </c>
    </row>
    <row r="728" spans="2:3" ht="12.75" customHeight="1" x14ac:dyDescent="0.35">
      <c r="B728" s="108"/>
      <c r="C728" s="97" t="s">
        <v>3610</v>
      </c>
    </row>
    <row r="729" spans="2:3" ht="12.75" customHeight="1" x14ac:dyDescent="0.35">
      <c r="C729" s="97" t="s">
        <v>3607</v>
      </c>
    </row>
    <row r="730" spans="2:3" ht="12.75" customHeight="1" x14ac:dyDescent="0.35">
      <c r="C730" s="97" t="s">
        <v>3612</v>
      </c>
    </row>
    <row r="731" spans="2:3" ht="12.75" customHeight="1" x14ac:dyDescent="0.35">
      <c r="C731" s="97" t="s">
        <v>3613</v>
      </c>
    </row>
    <row r="732" spans="2:3" ht="12.75" customHeight="1" x14ac:dyDescent="0.35">
      <c r="C732" s="97" t="s">
        <v>3612</v>
      </c>
    </row>
    <row r="733" spans="2:3" ht="12.75" customHeight="1" x14ac:dyDescent="0.35">
      <c r="C733" s="97" t="s">
        <v>3607</v>
      </c>
    </row>
    <row r="734" spans="2:3" ht="12.75" customHeight="1" x14ac:dyDescent="0.35">
      <c r="C734" s="97" t="s">
        <v>3614</v>
      </c>
    </row>
    <row r="735" spans="2:3" ht="12.75" customHeight="1" x14ac:dyDescent="0.35">
      <c r="C735" s="97" t="s">
        <v>3615</v>
      </c>
    </row>
    <row r="736" spans="2:3" ht="12.75" customHeight="1" x14ac:dyDescent="0.35">
      <c r="C736" s="97" t="s">
        <v>3616</v>
      </c>
    </row>
    <row r="737" spans="2:3" ht="12.75" customHeight="1" x14ac:dyDescent="0.35">
      <c r="C737" s="97" t="s">
        <v>3615</v>
      </c>
    </row>
    <row r="738" spans="2:3" ht="12.75" customHeight="1" x14ac:dyDescent="0.35">
      <c r="C738" s="97" t="s">
        <v>3607</v>
      </c>
    </row>
    <row r="739" spans="2:3" ht="12.75" customHeight="1" x14ac:dyDescent="0.35">
      <c r="C739" s="97" t="s">
        <v>3617</v>
      </c>
    </row>
    <row r="740" spans="2:3" ht="12.75" customHeight="1" x14ac:dyDescent="0.35">
      <c r="C740" s="97" t="s">
        <v>3618</v>
      </c>
    </row>
    <row r="741" spans="2:3" ht="12.75" customHeight="1" x14ac:dyDescent="0.35">
      <c r="C741" s="97" t="s">
        <v>3617</v>
      </c>
    </row>
    <row r="742" spans="2:3" ht="12.75" customHeight="1" x14ac:dyDescent="0.35">
      <c r="C742" s="97" t="s">
        <v>3607</v>
      </c>
    </row>
    <row r="743" spans="2:3" ht="12.75" customHeight="1" x14ac:dyDescent="0.35">
      <c r="C743" s="97" t="s">
        <v>3619</v>
      </c>
    </row>
    <row r="744" spans="2:3" ht="12.75" customHeight="1" x14ac:dyDescent="0.35">
      <c r="C744" s="97" t="s">
        <v>3620</v>
      </c>
    </row>
    <row r="745" spans="2:3" ht="12.75" customHeight="1" x14ac:dyDescent="0.35">
      <c r="C745" s="97" t="s">
        <v>3619</v>
      </c>
    </row>
    <row r="746" spans="2:3" ht="12.75" customHeight="1" x14ac:dyDescent="0.35">
      <c r="C746" s="97" t="s">
        <v>3607</v>
      </c>
    </row>
    <row r="747" spans="2:3" ht="12.75" customHeight="1" x14ac:dyDescent="0.35">
      <c r="B747" s="101"/>
      <c r="C747" s="97" t="s">
        <v>3621</v>
      </c>
    </row>
    <row r="748" spans="2:3" ht="12.75" customHeight="1" x14ac:dyDescent="0.35">
      <c r="B748" s="101"/>
      <c r="C748" s="97" t="s">
        <v>3622</v>
      </c>
    </row>
    <row r="749" spans="2:3" ht="12.75" customHeight="1" x14ac:dyDescent="0.35">
      <c r="B749" s="101"/>
      <c r="C749" s="97" t="s">
        <v>3621</v>
      </c>
    </row>
    <row r="750" spans="2:3" ht="12.75" customHeight="1" x14ac:dyDescent="0.35">
      <c r="C750" s="97" t="s">
        <v>3607</v>
      </c>
    </row>
    <row r="751" spans="2:3" ht="12.75" customHeight="1" x14ac:dyDescent="0.35">
      <c r="C751" s="97" t="s">
        <v>3623</v>
      </c>
    </row>
    <row r="752" spans="2:3" ht="12.75" customHeight="1" x14ac:dyDescent="0.35">
      <c r="C752" s="97" t="s">
        <v>3624</v>
      </c>
    </row>
    <row r="753" spans="3:3" ht="12.75" customHeight="1" x14ac:dyDescent="0.35">
      <c r="C753" s="97" t="s">
        <v>3623</v>
      </c>
    </row>
    <row r="754" spans="3:3" ht="12.75" customHeight="1" x14ac:dyDescent="0.35">
      <c r="C754" s="97" t="s">
        <v>3607</v>
      </c>
    </row>
    <row r="755" spans="3:3" ht="12.75" customHeight="1" x14ac:dyDescent="0.35">
      <c r="C755" s="97" t="s">
        <v>3462</v>
      </c>
    </row>
    <row r="756" spans="3:3" ht="12.75" customHeight="1" x14ac:dyDescent="0.35">
      <c r="C756" s="97" t="s">
        <v>3625</v>
      </c>
    </row>
    <row r="757" spans="3:3" ht="12.75" customHeight="1" x14ac:dyDescent="0.35">
      <c r="C757" s="97" t="s">
        <v>3626</v>
      </c>
    </row>
    <row r="758" spans="3:3" ht="12.75" customHeight="1" x14ac:dyDescent="0.35">
      <c r="C758" s="97" t="s">
        <v>3627</v>
      </c>
    </row>
    <row r="759" spans="3:3" ht="12.75" customHeight="1" x14ac:dyDescent="0.35">
      <c r="C759" s="97" t="s">
        <v>3607</v>
      </c>
    </row>
    <row r="760" spans="3:3" ht="12.75" customHeight="1" x14ac:dyDescent="0.35">
      <c r="C760" s="97" t="s">
        <v>3628</v>
      </c>
    </row>
    <row r="761" spans="3:3" ht="12.75" customHeight="1" x14ac:dyDescent="0.35">
      <c r="C761" s="97" t="s">
        <v>3629</v>
      </c>
    </row>
    <row r="762" spans="3:3" ht="12.75" customHeight="1" x14ac:dyDescent="0.35">
      <c r="C762" s="97" t="s">
        <v>3628</v>
      </c>
    </row>
    <row r="763" spans="3:3" ht="12.75" customHeight="1" x14ac:dyDescent="0.35">
      <c r="C763" s="97" t="s">
        <v>3607</v>
      </c>
    </row>
    <row r="764" spans="3:3" ht="12.75" customHeight="1" x14ac:dyDescent="0.35">
      <c r="C764" s="97" t="s">
        <v>3630</v>
      </c>
    </row>
    <row r="765" spans="3:3" ht="12.75" customHeight="1" x14ac:dyDescent="0.35">
      <c r="C765" s="97" t="s">
        <v>3631</v>
      </c>
    </row>
    <row r="766" spans="3:3" ht="12.75" customHeight="1" x14ac:dyDescent="0.35">
      <c r="C766" s="97" t="s">
        <v>3632</v>
      </c>
    </row>
    <row r="767" spans="3:3" ht="12.75" customHeight="1" x14ac:dyDescent="0.35">
      <c r="C767" s="97" t="s">
        <v>3607</v>
      </c>
    </row>
    <row r="768" spans="3:3" ht="12.75" customHeight="1" x14ac:dyDescent="0.35">
      <c r="C768" s="97" t="s">
        <v>3633</v>
      </c>
    </row>
    <row r="769" spans="2:3" ht="12.75" customHeight="1" x14ac:dyDescent="0.35">
      <c r="C769" s="97" t="s">
        <v>3634</v>
      </c>
    </row>
    <row r="770" spans="2:3" ht="12.75" customHeight="1" x14ac:dyDescent="0.35">
      <c r="C770" s="97" t="s">
        <v>3633</v>
      </c>
    </row>
    <row r="771" spans="2:3" ht="12.75" customHeight="1" x14ac:dyDescent="0.35">
      <c r="C771" s="97" t="s">
        <v>3607</v>
      </c>
    </row>
    <row r="772" spans="2:3" ht="12.75" customHeight="1" x14ac:dyDescent="0.35">
      <c r="C772" s="97" t="s">
        <v>3635</v>
      </c>
    </row>
    <row r="773" spans="2:3" ht="12.75" customHeight="1" x14ac:dyDescent="0.35">
      <c r="B773" s="97" t="s">
        <v>3636</v>
      </c>
    </row>
    <row r="774" spans="2:3" ht="12.75" customHeight="1" x14ac:dyDescent="0.35">
      <c r="C774" s="97" t="s">
        <v>3637</v>
      </c>
    </row>
    <row r="775" spans="2:3" ht="12.75" customHeight="1" x14ac:dyDescent="0.35">
      <c r="C775" s="97" t="s">
        <v>3550</v>
      </c>
    </row>
    <row r="776" spans="2:3" ht="12.75" customHeight="1" x14ac:dyDescent="0.35">
      <c r="C776" s="1241" t="s">
        <v>5697</v>
      </c>
    </row>
    <row r="777" spans="2:3" ht="12.75" customHeight="1" x14ac:dyDescent="0.35">
      <c r="C777" s="97" t="s">
        <v>3638</v>
      </c>
    </row>
    <row r="778" spans="2:3" ht="12.75" customHeight="1" x14ac:dyDescent="0.35">
      <c r="C778" s="1241" t="s">
        <v>5699</v>
      </c>
    </row>
    <row r="779" spans="2:3" ht="12.75" customHeight="1" x14ac:dyDescent="0.35">
      <c r="C779" s="97" t="s">
        <v>3639</v>
      </c>
    </row>
    <row r="780" spans="2:3" ht="12.75" customHeight="1" x14ac:dyDescent="0.35">
      <c r="C780" s="97" t="s">
        <v>3640</v>
      </c>
    </row>
    <row r="781" spans="2:3" ht="12.75" customHeight="1" x14ac:dyDescent="0.35">
      <c r="B781" s="97" t="s">
        <v>3601</v>
      </c>
    </row>
    <row r="782" spans="2:3" ht="12.75" customHeight="1" x14ac:dyDescent="0.35"/>
    <row r="783" spans="2:3" ht="12.75" customHeight="1" x14ac:dyDescent="0.35"/>
    <row r="784" spans="2:3" ht="12.75" customHeight="1" x14ac:dyDescent="0.35"/>
    <row r="785" spans="2:3" ht="12.75" customHeight="1" x14ac:dyDescent="0.35"/>
    <row r="786" spans="2:3" ht="12.75" customHeight="1" x14ac:dyDescent="0.35"/>
    <row r="787" spans="2:3" ht="12.75" customHeight="1" x14ac:dyDescent="0.35"/>
    <row r="788" spans="2:3" ht="12.75" customHeight="1" x14ac:dyDescent="0.35"/>
    <row r="789" spans="2:3" ht="12.75" customHeight="1" x14ac:dyDescent="0.35"/>
    <row r="790" spans="2:3" ht="12.75" customHeight="1" x14ac:dyDescent="0.35"/>
    <row r="791" spans="2:3" ht="12.75" customHeight="1" x14ac:dyDescent="0.35"/>
    <row r="792" spans="2:3" ht="12.75" customHeight="1" x14ac:dyDescent="0.35"/>
    <row r="793" spans="2:3" ht="12.75" customHeight="1" x14ac:dyDescent="0.35"/>
    <row r="794" spans="2:3" ht="12.75" customHeight="1" x14ac:dyDescent="0.35">
      <c r="B794" s="97" t="s">
        <v>3641</v>
      </c>
    </row>
    <row r="795" spans="2:3" ht="12.75" customHeight="1" x14ac:dyDescent="0.35">
      <c r="B795" s="97" t="s">
        <v>3642</v>
      </c>
    </row>
    <row r="796" spans="2:3" ht="12.75" customHeight="1" x14ac:dyDescent="0.35">
      <c r="B796" s="97" t="s">
        <v>3643</v>
      </c>
    </row>
    <row r="797" spans="2:3" ht="12.75" customHeight="1" x14ac:dyDescent="0.35"/>
    <row r="798" spans="2:3" ht="12.75" customHeight="1" x14ac:dyDescent="0.35">
      <c r="B798" s="97" t="s">
        <v>3644</v>
      </c>
    </row>
    <row r="799" spans="2:3" ht="12.75" customHeight="1" x14ac:dyDescent="0.35">
      <c r="B799" s="97" t="s">
        <v>3493</v>
      </c>
    </row>
    <row r="800" spans="2:3" ht="12.75" customHeight="1" x14ac:dyDescent="0.35">
      <c r="C800" s="97" t="s">
        <v>3475</v>
      </c>
    </row>
    <row r="801" spans="1:3" ht="12.75" customHeight="1" x14ac:dyDescent="0.35">
      <c r="C801" s="97" t="s">
        <v>3645</v>
      </c>
    </row>
    <row r="802" spans="1:3" ht="12.75" customHeight="1" x14ac:dyDescent="0.35">
      <c r="C802" s="97" t="s">
        <v>3646</v>
      </c>
    </row>
    <row r="803" spans="1:3" ht="12.75" customHeight="1" x14ac:dyDescent="0.35">
      <c r="C803" s="97" t="s">
        <v>3478</v>
      </c>
    </row>
    <row r="804" spans="1:3" ht="12.75" customHeight="1" x14ac:dyDescent="0.35">
      <c r="C804" s="97" t="s">
        <v>3647</v>
      </c>
    </row>
    <row r="805" spans="1:3" ht="12.75" customHeight="1" x14ac:dyDescent="0.35">
      <c r="C805" s="97" t="s">
        <v>3648</v>
      </c>
    </row>
    <row r="806" spans="1:3" ht="12.75" customHeight="1" x14ac:dyDescent="0.35">
      <c r="B806" s="97" t="s">
        <v>3649</v>
      </c>
    </row>
    <row r="807" spans="1:3" ht="12.75" customHeight="1" x14ac:dyDescent="0.35">
      <c r="A807" s="101"/>
      <c r="B807" s="97" t="s">
        <v>3650</v>
      </c>
    </row>
    <row r="808" spans="1:3" ht="12.75" customHeight="1" x14ac:dyDescent="0.35">
      <c r="B808" s="97" t="s">
        <v>3651</v>
      </c>
    </row>
    <row r="809" spans="1:3" ht="12.75" customHeight="1" x14ac:dyDescent="0.35">
      <c r="B809" s="97" t="s">
        <v>3652</v>
      </c>
    </row>
    <row r="810" spans="1:3" ht="12.75" customHeight="1" x14ac:dyDescent="0.35">
      <c r="C810" s="97" t="s">
        <v>3653</v>
      </c>
    </row>
    <row r="811" spans="1:3" ht="12.75" customHeight="1" x14ac:dyDescent="0.35">
      <c r="C811" s="97" t="s">
        <v>3654</v>
      </c>
    </row>
    <row r="812" spans="1:3" ht="12.75" customHeight="1" x14ac:dyDescent="0.35">
      <c r="C812" s="116" t="s">
        <v>6212</v>
      </c>
    </row>
    <row r="813" spans="1:3" ht="12.75" customHeight="1" x14ac:dyDescent="0.35">
      <c r="C813" s="97" t="s">
        <v>3655</v>
      </c>
    </row>
    <row r="814" spans="1:3" ht="12.75" customHeight="1" x14ac:dyDescent="0.35">
      <c r="B814" s="101"/>
      <c r="C814" s="97" t="s">
        <v>3656</v>
      </c>
    </row>
    <row r="815" spans="1:3" ht="12.75" customHeight="1" x14ac:dyDescent="0.35">
      <c r="C815" s="97" t="s">
        <v>3573</v>
      </c>
    </row>
    <row r="816" spans="1:3" ht="12.75" customHeight="1" x14ac:dyDescent="0.35">
      <c r="C816" s="97" t="s">
        <v>3561</v>
      </c>
    </row>
    <row r="817" spans="2:3" ht="12.75" customHeight="1" x14ac:dyDescent="0.35">
      <c r="C817" s="97" t="s">
        <v>3657</v>
      </c>
    </row>
    <row r="818" spans="2:3" ht="12.75" customHeight="1" x14ac:dyDescent="0.35">
      <c r="C818" s="97" t="s">
        <v>3658</v>
      </c>
    </row>
    <row r="819" spans="2:3" ht="12.75" customHeight="1" x14ac:dyDescent="0.35">
      <c r="C819" s="97" t="s">
        <v>3659</v>
      </c>
    </row>
    <row r="820" spans="2:3" ht="12.75" customHeight="1" x14ac:dyDescent="0.35">
      <c r="C820" s="97" t="s">
        <v>3660</v>
      </c>
    </row>
    <row r="821" spans="2:3" ht="12.75" customHeight="1" x14ac:dyDescent="0.35">
      <c r="C821" s="97" t="s">
        <v>3661</v>
      </c>
    </row>
    <row r="822" spans="2:3" ht="12.75" customHeight="1" x14ac:dyDescent="0.35">
      <c r="C822" s="116" t="s">
        <v>6211</v>
      </c>
    </row>
    <row r="823" spans="2:3" ht="12.75" customHeight="1" x14ac:dyDescent="0.35">
      <c r="C823" s="97" t="s">
        <v>3662</v>
      </c>
    </row>
    <row r="824" spans="2:3" ht="12.75" customHeight="1" x14ac:dyDescent="0.35">
      <c r="C824" s="1241" t="s">
        <v>5705</v>
      </c>
    </row>
    <row r="825" spans="2:3" ht="12.75" customHeight="1" x14ac:dyDescent="0.35">
      <c r="C825" s="97" t="s">
        <v>3663</v>
      </c>
    </row>
    <row r="826" spans="2:3" ht="12.75" customHeight="1" x14ac:dyDescent="0.35">
      <c r="C826" s="97" t="s">
        <v>3664</v>
      </c>
    </row>
    <row r="827" spans="2:3" ht="12.75" customHeight="1" x14ac:dyDescent="0.35">
      <c r="C827" s="97" t="s">
        <v>3665</v>
      </c>
    </row>
    <row r="828" spans="2:3" ht="12.75" customHeight="1" x14ac:dyDescent="0.35">
      <c r="B828" s="97" t="s">
        <v>3644</v>
      </c>
    </row>
    <row r="829" spans="2:3" ht="12.75" customHeight="1" x14ac:dyDescent="0.35">
      <c r="B829" s="97" t="s">
        <v>3666</v>
      </c>
    </row>
    <row r="830" spans="2:3" ht="12.75" customHeight="1" x14ac:dyDescent="0.35">
      <c r="B830" s="97" t="s">
        <v>3491</v>
      </c>
    </row>
    <row r="831" spans="2:3" ht="12.75" customHeight="1" x14ac:dyDescent="0.35">
      <c r="B831" s="97" t="s">
        <v>3526</v>
      </c>
    </row>
    <row r="832" spans="2:3" ht="12.75" customHeight="1" x14ac:dyDescent="0.35">
      <c r="B832" s="97" t="s">
        <v>3482</v>
      </c>
    </row>
    <row r="833" spans="2:2" ht="12.75" customHeight="1" x14ac:dyDescent="0.35">
      <c r="B833" s="97" t="s">
        <v>3667</v>
      </c>
    </row>
    <row r="834" spans="2:2" ht="12.75" customHeight="1" x14ac:dyDescent="0.35">
      <c r="B834" s="97" t="s">
        <v>3657</v>
      </c>
    </row>
    <row r="835" spans="2:2" ht="12.75" customHeight="1" x14ac:dyDescent="0.35">
      <c r="B835" s="97" t="s">
        <v>3668</v>
      </c>
    </row>
    <row r="836" spans="2:2" ht="12.75" customHeight="1" x14ac:dyDescent="0.35">
      <c r="B836" s="97" t="s">
        <v>3669</v>
      </c>
    </row>
    <row r="837" spans="2:2" ht="12.75" customHeight="1" x14ac:dyDescent="0.35"/>
    <row r="838" spans="2:2" ht="12.75" customHeight="1" x14ac:dyDescent="0.35">
      <c r="B838" s="97" t="s">
        <v>3670</v>
      </c>
    </row>
    <row r="839" spans="2:2" ht="12.75" customHeight="1" x14ac:dyDescent="0.35">
      <c r="B839" s="97" t="s">
        <v>3671</v>
      </c>
    </row>
    <row r="840" spans="2:2" ht="12.75" customHeight="1" x14ac:dyDescent="0.35">
      <c r="B840" s="97" t="s">
        <v>3579</v>
      </c>
    </row>
    <row r="841" spans="2:2" ht="12.75" customHeight="1" x14ac:dyDescent="0.35">
      <c r="B841" s="97" t="s">
        <v>3672</v>
      </c>
    </row>
    <row r="842" spans="2:2" ht="12.75" customHeight="1" x14ac:dyDescent="0.35"/>
    <row r="843" spans="2:2" ht="12.75" customHeight="1" x14ac:dyDescent="0.35"/>
    <row r="844" spans="2:2" ht="12.75" customHeight="1" x14ac:dyDescent="0.35"/>
    <row r="845" spans="2:2" ht="12.75" customHeight="1" x14ac:dyDescent="0.35">
      <c r="B845" s="97" t="s">
        <v>3673</v>
      </c>
    </row>
    <row r="846" spans="2:2" ht="12.75" customHeight="1" x14ac:dyDescent="0.35"/>
    <row r="847" spans="2:2" ht="12.75" customHeight="1" x14ac:dyDescent="0.35">
      <c r="B847" s="97" t="s">
        <v>3454</v>
      </c>
    </row>
  </sheetData>
  <printOptions gridLines="1"/>
  <pageMargins left="0.35433070866141736" right="0.35433070866141736" top="0.78740157480314965" bottom="0.78740157480314965" header="0.51181102362204722" footer="0.51181102362204722"/>
  <pageSetup paperSize="9" fitToWidth="2" fitToHeight="8" orientation="portrait" r:id="rId1"/>
  <headerFooter>
    <oddHeader>&amp;C&amp;A</oddHeader>
    <oddFooter>&amp;CPage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pageSetUpPr autoPageBreaks="0" fitToPage="1"/>
  </sheetPr>
  <dimension ref="A1:D847"/>
  <sheetViews>
    <sheetView topLeftCell="A415" workbookViewId="0">
      <selection activeCell="A391" sqref="A391"/>
    </sheetView>
  </sheetViews>
  <sheetFormatPr defaultColWidth="9.1796875" defaultRowHeight="14.5" x14ac:dyDescent="0.35"/>
  <cols>
    <col min="1" max="1" width="1.54296875" style="97" customWidth="1"/>
    <col min="2" max="2" width="8.7265625" style="97" customWidth="1"/>
    <col min="3" max="4" width="10.7265625" style="97" customWidth="1"/>
    <col min="5" max="16384" width="9.1796875" style="97"/>
  </cols>
  <sheetData>
    <row r="1" spans="2:2" ht="12.75" customHeight="1" x14ac:dyDescent="0.35">
      <c r="B1" s="97" t="s">
        <v>3674</v>
      </c>
    </row>
    <row r="2" spans="2:2" ht="12.75" customHeight="1" x14ac:dyDescent="0.35">
      <c r="B2" s="97" t="s">
        <v>3675</v>
      </c>
    </row>
    <row r="3" spans="2:2" ht="12.75" customHeight="1" x14ac:dyDescent="0.35">
      <c r="B3" s="97" t="s">
        <v>3676</v>
      </c>
    </row>
    <row r="4" spans="2:2" ht="12.75" customHeight="1" x14ac:dyDescent="0.35">
      <c r="B4" s="97" t="s">
        <v>3677</v>
      </c>
    </row>
    <row r="5" spans="2:2" ht="12.75" customHeight="1" x14ac:dyDescent="0.35">
      <c r="B5" s="97" t="s">
        <v>3678</v>
      </c>
    </row>
    <row r="6" spans="2:2" ht="12.75" customHeight="1" x14ac:dyDescent="0.35">
      <c r="B6" s="97" t="s">
        <v>3679</v>
      </c>
    </row>
    <row r="7" spans="2:2" ht="12.75" customHeight="1" x14ac:dyDescent="0.35"/>
    <row r="8" spans="2:2" ht="12.75" customHeight="1" x14ac:dyDescent="0.35"/>
    <row r="9" spans="2:2" ht="12.75" customHeight="1" x14ac:dyDescent="0.35"/>
    <row r="10" spans="2:2" ht="12.75" customHeight="1" x14ac:dyDescent="0.35"/>
    <row r="11" spans="2:2" ht="12.75" customHeight="1" x14ac:dyDescent="0.35">
      <c r="B11" s="97" t="s">
        <v>3680</v>
      </c>
    </row>
    <row r="12" spans="2:2" ht="12.75" customHeight="1" x14ac:dyDescent="0.35">
      <c r="B12" s="97" t="s">
        <v>3681</v>
      </c>
    </row>
    <row r="13" spans="2:2" ht="12.75" customHeight="1" x14ac:dyDescent="0.35">
      <c r="B13" s="97" t="s">
        <v>3682</v>
      </c>
    </row>
    <row r="14" spans="2:2" ht="12.75" customHeight="1" x14ac:dyDescent="0.35"/>
    <row r="15" spans="2:2" ht="12.75" customHeight="1" x14ac:dyDescent="0.35">
      <c r="B15" s="97" t="s">
        <v>3683</v>
      </c>
    </row>
    <row r="16" spans="2:2" ht="12.75" customHeight="1" x14ac:dyDescent="0.35"/>
    <row r="17" spans="2:4" ht="12.75" customHeight="1" x14ac:dyDescent="0.35">
      <c r="B17" s="97" t="s">
        <v>3681</v>
      </c>
      <c r="D17" s="97" t="s">
        <v>3685</v>
      </c>
    </row>
    <row r="18" spans="2:4" ht="12.75" customHeight="1" x14ac:dyDescent="0.35"/>
    <row r="19" spans="2:4" ht="12.75" customHeight="1" x14ac:dyDescent="0.35">
      <c r="C19" s="1332" t="s">
        <v>6347</v>
      </c>
    </row>
    <row r="20" spans="2:4" ht="12.75" customHeight="1" x14ac:dyDescent="0.35">
      <c r="B20" s="97" t="s">
        <v>6251</v>
      </c>
    </row>
    <row r="21" spans="2:4" ht="12.75" customHeight="1" x14ac:dyDescent="0.35">
      <c r="C21" s="97" t="s">
        <v>3687</v>
      </c>
    </row>
    <row r="22" spans="2:4" ht="12.75" customHeight="1" x14ac:dyDescent="0.35"/>
    <row r="23" spans="2:4" ht="12.75" customHeight="1" x14ac:dyDescent="0.35"/>
    <row r="24" spans="2:4" ht="12.75" customHeight="1" x14ac:dyDescent="0.35">
      <c r="B24" s="97" t="s">
        <v>3686</v>
      </c>
    </row>
    <row r="25" spans="2:4" ht="12.75" customHeight="1" x14ac:dyDescent="0.35">
      <c r="C25" s="97" t="s">
        <v>3688</v>
      </c>
    </row>
    <row r="26" spans="2:4" ht="12.75" customHeight="1" x14ac:dyDescent="0.35"/>
    <row r="27" spans="2:4" ht="12.75" customHeight="1" x14ac:dyDescent="0.35"/>
    <row r="28" spans="2:4" ht="12.75" customHeight="1" x14ac:dyDescent="0.35"/>
    <row r="29" spans="2:4" ht="12.75" customHeight="1" x14ac:dyDescent="0.35">
      <c r="C29" s="1332" t="s">
        <v>6348</v>
      </c>
    </row>
    <row r="30" spans="2:4" ht="12.75" customHeight="1" x14ac:dyDescent="0.35">
      <c r="B30" s="97" t="s">
        <v>3686</v>
      </c>
    </row>
    <row r="31" spans="2:4" ht="12.75" customHeight="1" x14ac:dyDescent="0.35">
      <c r="C31" s="97" t="s">
        <v>3687</v>
      </c>
    </row>
    <row r="32" spans="2:4" ht="12.75" customHeight="1" x14ac:dyDescent="0.35"/>
    <row r="33" spans="2:3" ht="12.75" customHeight="1" x14ac:dyDescent="0.35"/>
    <row r="34" spans="2:3" ht="12.75" customHeight="1" x14ac:dyDescent="0.35">
      <c r="B34" s="97" t="s">
        <v>3686</v>
      </c>
    </row>
    <row r="35" spans="2:3" ht="12.75" customHeight="1" x14ac:dyDescent="0.35">
      <c r="C35" s="97" t="s">
        <v>3688</v>
      </c>
    </row>
    <row r="36" spans="2:3" ht="12.75" customHeight="1" x14ac:dyDescent="0.35"/>
    <row r="37" spans="2:3" ht="12.75" customHeight="1" x14ac:dyDescent="0.35"/>
    <row r="38" spans="2:3" ht="12.75" customHeight="1" x14ac:dyDescent="0.35"/>
    <row r="39" spans="2:3" ht="12.75" customHeight="1" x14ac:dyDescent="0.35">
      <c r="C39" s="1332" t="s">
        <v>6349</v>
      </c>
    </row>
    <row r="40" spans="2:3" ht="12.75" customHeight="1" x14ac:dyDescent="0.35">
      <c r="B40" s="97" t="s">
        <v>3686</v>
      </c>
    </row>
    <row r="41" spans="2:3" ht="12.75" customHeight="1" x14ac:dyDescent="0.35">
      <c r="C41" s="97" t="s">
        <v>3687</v>
      </c>
    </row>
    <row r="42" spans="2:3" ht="12.75" customHeight="1" x14ac:dyDescent="0.35"/>
    <row r="43" spans="2:3" ht="12.75" customHeight="1" x14ac:dyDescent="0.35"/>
    <row r="44" spans="2:3" ht="12.75" customHeight="1" x14ac:dyDescent="0.35">
      <c r="B44" s="97" t="s">
        <v>3686</v>
      </c>
    </row>
    <row r="45" spans="2:3" ht="12.75" customHeight="1" x14ac:dyDescent="0.35">
      <c r="C45" s="97" t="s">
        <v>3688</v>
      </c>
    </row>
    <row r="46" spans="2:3" ht="12.75" customHeight="1" x14ac:dyDescent="0.35"/>
    <row r="47" spans="2:3" ht="12.75" customHeight="1" x14ac:dyDescent="0.35"/>
    <row r="48" spans="2:3" ht="12.75" customHeight="1" x14ac:dyDescent="0.35"/>
    <row r="49" spans="2:3" ht="12.75" customHeight="1" x14ac:dyDescent="0.35"/>
    <row r="50" spans="2:3" ht="12.75" customHeight="1" x14ac:dyDescent="0.35">
      <c r="B50" s="97" t="s">
        <v>3686</v>
      </c>
    </row>
    <row r="51" spans="2:3" ht="12.75" customHeight="1" x14ac:dyDescent="0.35">
      <c r="C51" s="97" t="s">
        <v>3687</v>
      </c>
    </row>
    <row r="52" spans="2:3" ht="12.75" customHeight="1" x14ac:dyDescent="0.35"/>
    <row r="53" spans="2:3" ht="12.75" customHeight="1" x14ac:dyDescent="0.35"/>
    <row r="54" spans="2:3" ht="12.75" customHeight="1" x14ac:dyDescent="0.35">
      <c r="B54" s="97" t="s">
        <v>3686</v>
      </c>
    </row>
    <row r="55" spans="2:3" ht="12.75" customHeight="1" x14ac:dyDescent="0.35">
      <c r="C55" s="97" t="s">
        <v>3688</v>
      </c>
    </row>
    <row r="56" spans="2:3" ht="12.75" customHeight="1" x14ac:dyDescent="0.35"/>
    <row r="57" spans="2:3" ht="12.75" customHeight="1" x14ac:dyDescent="0.35"/>
    <row r="58" spans="2:3" ht="12.75" customHeight="1" x14ac:dyDescent="0.35"/>
    <row r="59" spans="2:3" ht="12.75" customHeight="1" x14ac:dyDescent="0.35"/>
    <row r="60" spans="2:3" ht="12.75" customHeight="1" x14ac:dyDescent="0.35">
      <c r="B60" s="97" t="s">
        <v>3686</v>
      </c>
    </row>
    <row r="61" spans="2:3" ht="12.75" customHeight="1" x14ac:dyDescent="0.35">
      <c r="C61" s="97" t="s">
        <v>3687</v>
      </c>
    </row>
    <row r="62" spans="2:3" ht="12.75" customHeight="1" x14ac:dyDescent="0.35"/>
    <row r="63" spans="2:3" ht="12.75" customHeight="1" x14ac:dyDescent="0.35"/>
    <row r="64" spans="2:3" ht="12.75" customHeight="1" x14ac:dyDescent="0.35">
      <c r="B64" s="97" t="s">
        <v>3686</v>
      </c>
    </row>
    <row r="65" spans="2:3" ht="12.75" customHeight="1" x14ac:dyDescent="0.35">
      <c r="C65" s="97" t="s">
        <v>3688</v>
      </c>
    </row>
    <row r="66" spans="2:3" ht="12.75" customHeight="1" x14ac:dyDescent="0.35"/>
    <row r="67" spans="2:3" ht="12.75" customHeight="1" x14ac:dyDescent="0.35"/>
    <row r="68" spans="2:3" ht="12.75" customHeight="1" x14ac:dyDescent="0.35"/>
    <row r="69" spans="2:3" ht="12.75" customHeight="1" x14ac:dyDescent="0.35"/>
    <row r="70" spans="2:3" ht="12.75" customHeight="1" x14ac:dyDescent="0.35">
      <c r="B70" s="97" t="s">
        <v>3686</v>
      </c>
    </row>
    <row r="71" spans="2:3" ht="12.75" customHeight="1" x14ac:dyDescent="0.35">
      <c r="C71" s="97" t="s">
        <v>3687</v>
      </c>
    </row>
    <row r="72" spans="2:3" ht="12.75" customHeight="1" x14ac:dyDescent="0.35"/>
    <row r="73" spans="2:3" ht="12.75" customHeight="1" x14ac:dyDescent="0.35"/>
    <row r="74" spans="2:3" ht="12.75" customHeight="1" x14ac:dyDescent="0.35">
      <c r="B74" s="97" t="s">
        <v>3686</v>
      </c>
    </row>
    <row r="75" spans="2:3" ht="12.75" customHeight="1" x14ac:dyDescent="0.35">
      <c r="C75" s="97" t="s">
        <v>3688</v>
      </c>
    </row>
    <row r="76" spans="2:3" ht="12.75" customHeight="1" x14ac:dyDescent="0.35"/>
    <row r="77" spans="2:3" ht="12.75" customHeight="1" x14ac:dyDescent="0.35"/>
    <row r="78" spans="2:3" ht="12.75" customHeight="1" x14ac:dyDescent="0.35"/>
    <row r="79" spans="2:3" ht="12.75" customHeight="1" x14ac:dyDescent="0.35"/>
    <row r="80" spans="2:3" ht="12.75" customHeight="1" x14ac:dyDescent="0.35">
      <c r="B80" s="97" t="s">
        <v>3686</v>
      </c>
    </row>
    <row r="81" spans="2:3" ht="12.75" customHeight="1" x14ac:dyDescent="0.35">
      <c r="C81" s="97" t="s">
        <v>3687</v>
      </c>
    </row>
    <row r="82" spans="2:3" ht="12.75" customHeight="1" x14ac:dyDescent="0.35"/>
    <row r="83" spans="2:3" ht="12.75" customHeight="1" x14ac:dyDescent="0.35"/>
    <row r="84" spans="2:3" ht="12.75" customHeight="1" x14ac:dyDescent="0.35">
      <c r="B84" s="97" t="s">
        <v>3686</v>
      </c>
    </row>
    <row r="85" spans="2:3" ht="12.75" customHeight="1" x14ac:dyDescent="0.35">
      <c r="C85" s="97" t="s">
        <v>3688</v>
      </c>
    </row>
    <row r="86" spans="2:3" ht="12.75" customHeight="1" x14ac:dyDescent="0.35"/>
    <row r="87" spans="2:3" ht="12.75" customHeight="1" x14ac:dyDescent="0.35"/>
    <row r="88" spans="2:3" ht="12.75" customHeight="1" x14ac:dyDescent="0.35"/>
    <row r="89" spans="2:3" ht="12.75" customHeight="1" x14ac:dyDescent="0.35"/>
    <row r="90" spans="2:3" ht="12.75" customHeight="1" x14ac:dyDescent="0.35">
      <c r="B90" s="97" t="s">
        <v>3686</v>
      </c>
    </row>
    <row r="91" spans="2:3" ht="12.75" customHeight="1" x14ac:dyDescent="0.35">
      <c r="C91" s="97" t="s">
        <v>3687</v>
      </c>
    </row>
    <row r="92" spans="2:3" ht="12.75" customHeight="1" x14ac:dyDescent="0.35"/>
    <row r="93" spans="2:3" ht="12.75" customHeight="1" x14ac:dyDescent="0.35"/>
    <row r="94" spans="2:3" ht="12.75" customHeight="1" x14ac:dyDescent="0.35">
      <c r="B94" s="97" t="s">
        <v>3686</v>
      </c>
    </row>
    <row r="95" spans="2:3" ht="12.75" customHeight="1" x14ac:dyDescent="0.35">
      <c r="C95" s="97" t="s">
        <v>3688</v>
      </c>
    </row>
    <row r="96" spans="2:3" ht="12.75" customHeight="1" x14ac:dyDescent="0.35"/>
    <row r="97" spans="2:3" ht="12.75" customHeight="1" x14ac:dyDescent="0.35"/>
    <row r="98" spans="2:3" ht="12.75" customHeight="1" x14ac:dyDescent="0.35"/>
    <row r="99" spans="2:3" ht="12.75" customHeight="1" x14ac:dyDescent="0.35"/>
    <row r="100" spans="2:3" ht="12.75" customHeight="1" x14ac:dyDescent="0.35">
      <c r="B100" s="97" t="s">
        <v>3686</v>
      </c>
    </row>
    <row r="101" spans="2:3" ht="12.75" customHeight="1" x14ac:dyDescent="0.35">
      <c r="C101" s="97" t="s">
        <v>3687</v>
      </c>
    </row>
    <row r="102" spans="2:3" ht="12.75" customHeight="1" x14ac:dyDescent="0.35"/>
    <row r="103" spans="2:3" ht="12.75" customHeight="1" x14ac:dyDescent="0.35"/>
    <row r="104" spans="2:3" ht="12.75" customHeight="1" x14ac:dyDescent="0.35">
      <c r="B104" s="97" t="s">
        <v>3686</v>
      </c>
    </row>
    <row r="105" spans="2:3" ht="12.75" customHeight="1" x14ac:dyDescent="0.35">
      <c r="C105" s="97" t="s">
        <v>3688</v>
      </c>
    </row>
    <row r="106" spans="2:3" ht="12.75" customHeight="1" x14ac:dyDescent="0.35"/>
    <row r="107" spans="2:3" ht="12.75" customHeight="1" x14ac:dyDescent="0.35"/>
    <row r="108" spans="2:3" ht="12.75" customHeight="1" x14ac:dyDescent="0.35"/>
    <row r="109" spans="2:3" ht="12.75" customHeight="1" x14ac:dyDescent="0.35"/>
    <row r="110" spans="2:3" ht="12.75" customHeight="1" x14ac:dyDescent="0.35">
      <c r="B110" s="97" t="s">
        <v>3686</v>
      </c>
    </row>
    <row r="111" spans="2:3" ht="12.75" customHeight="1" x14ac:dyDescent="0.35">
      <c r="C111" s="97" t="s">
        <v>3687</v>
      </c>
    </row>
    <row r="112" spans="2:3" ht="12.75" customHeight="1" x14ac:dyDescent="0.35"/>
    <row r="113" spans="2:3" ht="12.75" customHeight="1" x14ac:dyDescent="0.35"/>
    <row r="114" spans="2:3" ht="12.75" customHeight="1" x14ac:dyDescent="0.35">
      <c r="B114" s="97" t="s">
        <v>3686</v>
      </c>
    </row>
    <row r="115" spans="2:3" ht="12.75" customHeight="1" x14ac:dyDescent="0.35">
      <c r="C115" s="97" t="s">
        <v>3688</v>
      </c>
    </row>
    <row r="116" spans="2:3" ht="12.75" customHeight="1" x14ac:dyDescent="0.35"/>
    <row r="117" spans="2:3" ht="12.75" customHeight="1" x14ac:dyDescent="0.35"/>
    <row r="118" spans="2:3" ht="12.75" customHeight="1" x14ac:dyDescent="0.35"/>
    <row r="119" spans="2:3" ht="12.75" customHeight="1" x14ac:dyDescent="0.35"/>
    <row r="120" spans="2:3" ht="12.75" customHeight="1" x14ac:dyDescent="0.35">
      <c r="B120" s="97" t="s">
        <v>3686</v>
      </c>
    </row>
    <row r="121" spans="2:3" ht="12.75" customHeight="1" x14ac:dyDescent="0.35">
      <c r="C121" s="97" t="s">
        <v>3687</v>
      </c>
    </row>
    <row r="122" spans="2:3" ht="12.75" customHeight="1" x14ac:dyDescent="0.35"/>
    <row r="123" spans="2:3" ht="12.75" customHeight="1" x14ac:dyDescent="0.35"/>
    <row r="124" spans="2:3" ht="12.75" customHeight="1" x14ac:dyDescent="0.35">
      <c r="B124" s="97" t="s">
        <v>3686</v>
      </c>
    </row>
    <row r="125" spans="2:3" ht="12.75" customHeight="1" x14ac:dyDescent="0.35">
      <c r="C125" s="97" t="s">
        <v>3688</v>
      </c>
    </row>
    <row r="126" spans="2:3" ht="12.75" customHeight="1" x14ac:dyDescent="0.35"/>
    <row r="127" spans="2:3" ht="12.75" customHeight="1" x14ac:dyDescent="0.35"/>
    <row r="128" spans="2:3" ht="12.75" customHeight="1" x14ac:dyDescent="0.35"/>
    <row r="129" spans="2:3" ht="12.75" customHeight="1" x14ac:dyDescent="0.35"/>
    <row r="130" spans="2:3" ht="12.75" customHeight="1" x14ac:dyDescent="0.35">
      <c r="B130" s="97" t="s">
        <v>3686</v>
      </c>
    </row>
    <row r="131" spans="2:3" ht="12.75" customHeight="1" x14ac:dyDescent="0.35">
      <c r="C131" s="97" t="s">
        <v>3687</v>
      </c>
    </row>
    <row r="132" spans="2:3" ht="12.75" customHeight="1" x14ac:dyDescent="0.35"/>
    <row r="133" spans="2:3" ht="12.75" customHeight="1" x14ac:dyDescent="0.35"/>
    <row r="134" spans="2:3" ht="12.75" customHeight="1" x14ac:dyDescent="0.35">
      <c r="B134" s="97" t="s">
        <v>3686</v>
      </c>
    </row>
    <row r="135" spans="2:3" ht="12.75" customHeight="1" x14ac:dyDescent="0.35">
      <c r="C135" s="97" t="s">
        <v>3688</v>
      </c>
    </row>
    <row r="136" spans="2:3" ht="12.75" customHeight="1" x14ac:dyDescent="0.35"/>
    <row r="137" spans="2:3" ht="12.75" customHeight="1" x14ac:dyDescent="0.35"/>
    <row r="138" spans="2:3" ht="12.75" customHeight="1" x14ac:dyDescent="0.35"/>
    <row r="139" spans="2:3" ht="12.75" customHeight="1" x14ac:dyDescent="0.35"/>
    <row r="140" spans="2:3" ht="12.75" customHeight="1" x14ac:dyDescent="0.35">
      <c r="B140" s="97" t="s">
        <v>3686</v>
      </c>
    </row>
    <row r="141" spans="2:3" ht="12.75" customHeight="1" x14ac:dyDescent="0.35">
      <c r="C141" s="97" t="s">
        <v>3687</v>
      </c>
    </row>
    <row r="142" spans="2:3" ht="12.75" customHeight="1" x14ac:dyDescent="0.35"/>
    <row r="143" spans="2:3" ht="12.75" customHeight="1" x14ac:dyDescent="0.35"/>
    <row r="144" spans="2:3" ht="12.75" customHeight="1" x14ac:dyDescent="0.35">
      <c r="B144" s="97" t="s">
        <v>3686</v>
      </c>
    </row>
    <row r="145" spans="2:3" ht="12.75" customHeight="1" x14ac:dyDescent="0.35">
      <c r="C145" s="97" t="s">
        <v>3688</v>
      </c>
    </row>
    <row r="146" spans="2:3" ht="12.75" customHeight="1" x14ac:dyDescent="0.35"/>
    <row r="147" spans="2:3" ht="12.75" customHeight="1" x14ac:dyDescent="0.35"/>
    <row r="148" spans="2:3" ht="12.75" customHeight="1" x14ac:dyDescent="0.35"/>
    <row r="149" spans="2:3" ht="12.75" customHeight="1" x14ac:dyDescent="0.35"/>
    <row r="150" spans="2:3" ht="12.75" customHeight="1" x14ac:dyDescent="0.35">
      <c r="B150" s="97" t="s">
        <v>3686</v>
      </c>
    </row>
    <row r="151" spans="2:3" ht="12.75" customHeight="1" x14ac:dyDescent="0.35">
      <c r="C151" s="97" t="s">
        <v>3687</v>
      </c>
    </row>
    <row r="152" spans="2:3" ht="12.75" customHeight="1" x14ac:dyDescent="0.35"/>
    <row r="153" spans="2:3" ht="12.75" customHeight="1" x14ac:dyDescent="0.35"/>
    <row r="154" spans="2:3" ht="12.75" customHeight="1" x14ac:dyDescent="0.35">
      <c r="B154" s="97" t="s">
        <v>3686</v>
      </c>
    </row>
    <row r="155" spans="2:3" ht="12.75" customHeight="1" x14ac:dyDescent="0.35">
      <c r="C155" s="97" t="s">
        <v>3688</v>
      </c>
    </row>
    <row r="156" spans="2:3" ht="12.75" customHeight="1" x14ac:dyDescent="0.35"/>
    <row r="157" spans="2:3" ht="12.75" customHeight="1" x14ac:dyDescent="0.35"/>
    <row r="158" spans="2:3" ht="12.75" customHeight="1" x14ac:dyDescent="0.35"/>
    <row r="159" spans="2:3" ht="12.75" customHeight="1" x14ac:dyDescent="0.35"/>
    <row r="160" spans="2:3" ht="12.75" customHeight="1" x14ac:dyDescent="0.35">
      <c r="B160" s="97" t="s">
        <v>3686</v>
      </c>
    </row>
    <row r="161" spans="2:3" ht="12.75" customHeight="1" x14ac:dyDescent="0.35">
      <c r="C161" s="97" t="s">
        <v>3687</v>
      </c>
    </row>
    <row r="162" spans="2:3" ht="12.75" customHeight="1" x14ac:dyDescent="0.35"/>
    <row r="163" spans="2:3" ht="12.75" customHeight="1" x14ac:dyDescent="0.35"/>
    <row r="164" spans="2:3" ht="12.75" customHeight="1" x14ac:dyDescent="0.35">
      <c r="B164" s="97" t="s">
        <v>3686</v>
      </c>
    </row>
    <row r="165" spans="2:3" ht="12.75" customHeight="1" x14ac:dyDescent="0.35">
      <c r="C165" s="97" t="s">
        <v>3688</v>
      </c>
    </row>
    <row r="166" spans="2:3" ht="12.75" customHeight="1" x14ac:dyDescent="0.35"/>
    <row r="167" spans="2:3" ht="12.75" customHeight="1" x14ac:dyDescent="0.35"/>
    <row r="168" spans="2:3" ht="12.75" customHeight="1" x14ac:dyDescent="0.35"/>
    <row r="169" spans="2:3" ht="12.75" customHeight="1" x14ac:dyDescent="0.35"/>
    <row r="170" spans="2:3" ht="12.75" customHeight="1" x14ac:dyDescent="0.35">
      <c r="B170" s="97" t="s">
        <v>3686</v>
      </c>
    </row>
    <row r="171" spans="2:3" ht="12.75" customHeight="1" x14ac:dyDescent="0.35">
      <c r="C171" s="97" t="s">
        <v>3687</v>
      </c>
    </row>
    <row r="172" spans="2:3" ht="12.75" customHeight="1" x14ac:dyDescent="0.35"/>
    <row r="173" spans="2:3" ht="12.75" customHeight="1" x14ac:dyDescent="0.35"/>
    <row r="174" spans="2:3" ht="12.75" customHeight="1" x14ac:dyDescent="0.35">
      <c r="B174" s="97" t="s">
        <v>3686</v>
      </c>
    </row>
    <row r="175" spans="2:3" ht="12.75" customHeight="1" x14ac:dyDescent="0.35">
      <c r="C175" s="97" t="s">
        <v>3688</v>
      </c>
    </row>
    <row r="176" spans="2:3" ht="12.75" customHeight="1" x14ac:dyDescent="0.35"/>
    <row r="177" spans="2:3" ht="12.75" customHeight="1" x14ac:dyDescent="0.35"/>
    <row r="178" spans="2:3" ht="12.75" customHeight="1" x14ac:dyDescent="0.35"/>
    <row r="179" spans="2:3" ht="12.75" customHeight="1" x14ac:dyDescent="0.35"/>
    <row r="180" spans="2:3" ht="12.75" customHeight="1" x14ac:dyDescent="0.35">
      <c r="B180" s="97" t="s">
        <v>3686</v>
      </c>
    </row>
    <row r="181" spans="2:3" ht="12.75" customHeight="1" x14ac:dyDescent="0.35">
      <c r="C181" s="97" t="s">
        <v>3687</v>
      </c>
    </row>
    <row r="182" spans="2:3" ht="12.75" customHeight="1" x14ac:dyDescent="0.35"/>
    <row r="183" spans="2:3" ht="12.75" customHeight="1" x14ac:dyDescent="0.35"/>
    <row r="184" spans="2:3" ht="12.75" customHeight="1" x14ac:dyDescent="0.35">
      <c r="B184" s="97" t="s">
        <v>3686</v>
      </c>
    </row>
    <row r="185" spans="2:3" ht="12.75" customHeight="1" x14ac:dyDescent="0.35">
      <c r="C185" s="97" t="s">
        <v>3688</v>
      </c>
    </row>
    <row r="186" spans="2:3" ht="12.75" customHeight="1" x14ac:dyDescent="0.35"/>
    <row r="187" spans="2:3" ht="12.75" customHeight="1" x14ac:dyDescent="0.35"/>
    <row r="188" spans="2:3" ht="12.75" customHeight="1" x14ac:dyDescent="0.35"/>
    <row r="189" spans="2:3" ht="12.75" customHeight="1" x14ac:dyDescent="0.35"/>
    <row r="190" spans="2:3" ht="12.75" customHeight="1" x14ac:dyDescent="0.35">
      <c r="B190" s="97" t="s">
        <v>3686</v>
      </c>
    </row>
    <row r="191" spans="2:3" ht="12.75" customHeight="1" x14ac:dyDescent="0.35">
      <c r="C191" s="97" t="s">
        <v>3687</v>
      </c>
    </row>
    <row r="192" spans="2:3" ht="12.75" customHeight="1" x14ac:dyDescent="0.35"/>
    <row r="193" spans="2:3" ht="12.75" customHeight="1" x14ac:dyDescent="0.35"/>
    <row r="194" spans="2:3" ht="12.75" customHeight="1" x14ac:dyDescent="0.35">
      <c r="B194" s="97" t="s">
        <v>3686</v>
      </c>
    </row>
    <row r="195" spans="2:3" ht="12.75" customHeight="1" x14ac:dyDescent="0.35">
      <c r="C195" s="97" t="s">
        <v>3688</v>
      </c>
    </row>
    <row r="196" spans="2:3" ht="12.75" customHeight="1" x14ac:dyDescent="0.35"/>
    <row r="197" spans="2:3" ht="12.75" customHeight="1" x14ac:dyDescent="0.35"/>
    <row r="198" spans="2:3" ht="12.75" customHeight="1" x14ac:dyDescent="0.35"/>
    <row r="199" spans="2:3" ht="12.75" customHeight="1" x14ac:dyDescent="0.35"/>
    <row r="200" spans="2:3" ht="12.75" customHeight="1" x14ac:dyDescent="0.35">
      <c r="B200" s="97" t="s">
        <v>3686</v>
      </c>
    </row>
    <row r="201" spans="2:3" ht="12.75" customHeight="1" x14ac:dyDescent="0.35">
      <c r="C201" s="97" t="s">
        <v>3687</v>
      </c>
    </row>
    <row r="202" spans="2:3" ht="12.75" customHeight="1" x14ac:dyDescent="0.35"/>
    <row r="203" spans="2:3" ht="12.75" customHeight="1" x14ac:dyDescent="0.35"/>
    <row r="204" spans="2:3" ht="12.75" customHeight="1" x14ac:dyDescent="0.35">
      <c r="B204" s="97" t="s">
        <v>3686</v>
      </c>
    </row>
    <row r="205" spans="2:3" ht="12.75" customHeight="1" x14ac:dyDescent="0.35">
      <c r="C205" s="97" t="s">
        <v>3688</v>
      </c>
    </row>
    <row r="206" spans="2:3" ht="12.75" customHeight="1" x14ac:dyDescent="0.35"/>
    <row r="207" spans="2:3" ht="12.75" customHeight="1" x14ac:dyDescent="0.35"/>
    <row r="208" spans="2:3" ht="12.75" customHeight="1" x14ac:dyDescent="0.35"/>
    <row r="209" spans="2:3" ht="12.75" customHeight="1" x14ac:dyDescent="0.35"/>
    <row r="210" spans="2:3" ht="12.75" customHeight="1" x14ac:dyDescent="0.35">
      <c r="B210" s="97" t="s">
        <v>3686</v>
      </c>
    </row>
    <row r="211" spans="2:3" ht="12.75" customHeight="1" x14ac:dyDescent="0.35">
      <c r="C211" s="97" t="s">
        <v>3687</v>
      </c>
    </row>
    <row r="212" spans="2:3" ht="12.75" customHeight="1" x14ac:dyDescent="0.35"/>
    <row r="213" spans="2:3" ht="12.75" customHeight="1" x14ac:dyDescent="0.35"/>
    <row r="214" spans="2:3" ht="12.75" customHeight="1" x14ac:dyDescent="0.35">
      <c r="B214" s="97" t="s">
        <v>3686</v>
      </c>
    </row>
    <row r="215" spans="2:3" ht="12.75" customHeight="1" x14ac:dyDescent="0.35">
      <c r="C215" s="97" t="s">
        <v>3688</v>
      </c>
    </row>
    <row r="216" spans="2:3" ht="12.75" customHeight="1" x14ac:dyDescent="0.35"/>
    <row r="217" spans="2:3" ht="12.75" customHeight="1" x14ac:dyDescent="0.35"/>
    <row r="218" spans="2:3" ht="12.75" customHeight="1" x14ac:dyDescent="0.35"/>
    <row r="219" spans="2:3" ht="12.75" customHeight="1" x14ac:dyDescent="0.35"/>
    <row r="220" spans="2:3" ht="12.75" customHeight="1" x14ac:dyDescent="0.35">
      <c r="B220" s="97" t="s">
        <v>3686</v>
      </c>
    </row>
    <row r="221" spans="2:3" ht="12.75" customHeight="1" x14ac:dyDescent="0.35">
      <c r="C221" s="97" t="s">
        <v>3687</v>
      </c>
    </row>
    <row r="222" spans="2:3" ht="12.75" customHeight="1" x14ac:dyDescent="0.35"/>
    <row r="223" spans="2:3" ht="12.75" customHeight="1" x14ac:dyDescent="0.35"/>
    <row r="224" spans="2:3" ht="12.75" customHeight="1" x14ac:dyDescent="0.35">
      <c r="B224" s="97" t="s">
        <v>3686</v>
      </c>
    </row>
    <row r="225" spans="2:3" ht="12.75" customHeight="1" x14ac:dyDescent="0.35">
      <c r="C225" s="97" t="s">
        <v>3688</v>
      </c>
    </row>
    <row r="226" spans="2:3" ht="12.75" customHeight="1" x14ac:dyDescent="0.35"/>
    <row r="227" spans="2:3" ht="12.75" customHeight="1" x14ac:dyDescent="0.35"/>
    <row r="228" spans="2:3" ht="12.75" customHeight="1" x14ac:dyDescent="0.35"/>
    <row r="229" spans="2:3" ht="12.75" customHeight="1" x14ac:dyDescent="0.35"/>
    <row r="230" spans="2:3" ht="12.75" customHeight="1" x14ac:dyDescent="0.35">
      <c r="B230" s="97" t="s">
        <v>3686</v>
      </c>
    </row>
    <row r="231" spans="2:3" ht="12.75" customHeight="1" x14ac:dyDescent="0.35">
      <c r="C231" s="97" t="s">
        <v>3687</v>
      </c>
    </row>
    <row r="232" spans="2:3" ht="12.75" customHeight="1" x14ac:dyDescent="0.35"/>
    <row r="233" spans="2:3" ht="12.75" customHeight="1" x14ac:dyDescent="0.35"/>
    <row r="234" spans="2:3" ht="12.75" customHeight="1" x14ac:dyDescent="0.35">
      <c r="B234" s="97" t="s">
        <v>3686</v>
      </c>
    </row>
    <row r="235" spans="2:3" ht="12.75" customHeight="1" x14ac:dyDescent="0.35">
      <c r="C235" s="97" t="s">
        <v>3688</v>
      </c>
    </row>
    <row r="236" spans="2:3" ht="12.75" customHeight="1" x14ac:dyDescent="0.35"/>
    <row r="237" spans="2:3" ht="12.75" customHeight="1" x14ac:dyDescent="0.35"/>
    <row r="238" spans="2:3" ht="12.75" customHeight="1" x14ac:dyDescent="0.35"/>
    <row r="239" spans="2:3" ht="12.75" customHeight="1" x14ac:dyDescent="0.35"/>
    <row r="240" spans="2:3" ht="12.75" customHeight="1" x14ac:dyDescent="0.35">
      <c r="B240" s="97" t="s">
        <v>3686</v>
      </c>
    </row>
    <row r="241" spans="2:3" ht="12.75" customHeight="1" x14ac:dyDescent="0.35">
      <c r="C241" s="97" t="s">
        <v>3687</v>
      </c>
    </row>
    <row r="242" spans="2:3" ht="12.75" customHeight="1" x14ac:dyDescent="0.35"/>
    <row r="243" spans="2:3" ht="12.75" customHeight="1" x14ac:dyDescent="0.35"/>
    <row r="244" spans="2:3" ht="12.75" customHeight="1" x14ac:dyDescent="0.35">
      <c r="B244" s="97" t="s">
        <v>3686</v>
      </c>
    </row>
    <row r="245" spans="2:3" ht="12.75" customHeight="1" x14ac:dyDescent="0.35">
      <c r="C245" s="97" t="s">
        <v>3688</v>
      </c>
    </row>
    <row r="246" spans="2:3" ht="12.75" customHeight="1" x14ac:dyDescent="0.35"/>
    <row r="247" spans="2:3" ht="12.75" customHeight="1" x14ac:dyDescent="0.35"/>
    <row r="248" spans="2:3" ht="12.75" customHeight="1" x14ac:dyDescent="0.35"/>
    <row r="249" spans="2:3" ht="12.75" customHeight="1" x14ac:dyDescent="0.35"/>
    <row r="250" spans="2:3" ht="12.75" customHeight="1" x14ac:dyDescent="0.35">
      <c r="B250" s="97" t="s">
        <v>3686</v>
      </c>
    </row>
    <row r="251" spans="2:3" ht="12.75" customHeight="1" x14ac:dyDescent="0.35">
      <c r="C251" s="97" t="s">
        <v>3687</v>
      </c>
    </row>
    <row r="252" spans="2:3" ht="12.75" customHeight="1" x14ac:dyDescent="0.35"/>
    <row r="253" spans="2:3" ht="12.75" customHeight="1" x14ac:dyDescent="0.35"/>
    <row r="254" spans="2:3" ht="12.75" customHeight="1" x14ac:dyDescent="0.35">
      <c r="B254" s="97" t="s">
        <v>3686</v>
      </c>
    </row>
    <row r="255" spans="2:3" ht="12.75" customHeight="1" x14ac:dyDescent="0.35">
      <c r="B255" s="104"/>
      <c r="C255" s="97" t="s">
        <v>3688</v>
      </c>
    </row>
    <row r="256" spans="2:3" ht="12.75" customHeight="1" x14ac:dyDescent="0.35"/>
    <row r="257" spans="2:3" ht="12.75" customHeight="1" x14ac:dyDescent="0.35"/>
    <row r="258" spans="2:3" ht="12.75" customHeight="1" x14ac:dyDescent="0.35"/>
    <row r="259" spans="2:3" ht="12.75" customHeight="1" x14ac:dyDescent="0.35"/>
    <row r="260" spans="2:3" ht="12.75" customHeight="1" x14ac:dyDescent="0.35">
      <c r="B260" s="97" t="s">
        <v>3686</v>
      </c>
    </row>
    <row r="261" spans="2:3" ht="12.75" customHeight="1" x14ac:dyDescent="0.35">
      <c r="C261" s="97" t="s">
        <v>3687</v>
      </c>
    </row>
    <row r="262" spans="2:3" ht="12.75" customHeight="1" x14ac:dyDescent="0.35"/>
    <row r="263" spans="2:3" ht="12.75" customHeight="1" x14ac:dyDescent="0.35"/>
    <row r="264" spans="2:3" ht="12.75" customHeight="1" x14ac:dyDescent="0.35">
      <c r="B264" s="97" t="s">
        <v>3686</v>
      </c>
    </row>
    <row r="265" spans="2:3" ht="12.75" customHeight="1" x14ac:dyDescent="0.35">
      <c r="B265" s="104"/>
      <c r="C265" s="97" t="s">
        <v>3688</v>
      </c>
    </row>
    <row r="266" spans="2:3" ht="12.75" customHeight="1" x14ac:dyDescent="0.35"/>
    <row r="267" spans="2:3" ht="12.75" customHeight="1" x14ac:dyDescent="0.35"/>
    <row r="268" spans="2:3" ht="12.75" customHeight="1" x14ac:dyDescent="0.35"/>
    <row r="269" spans="2:3" ht="12.75" customHeight="1" x14ac:dyDescent="0.35"/>
    <row r="270" spans="2:3" ht="12.75" customHeight="1" x14ac:dyDescent="0.35">
      <c r="B270" s="97" t="s">
        <v>3686</v>
      </c>
    </row>
    <row r="271" spans="2:3" ht="12.75" customHeight="1" x14ac:dyDescent="0.35">
      <c r="C271" s="97" t="s">
        <v>3687</v>
      </c>
    </row>
    <row r="272" spans="2:3" ht="12.75" customHeight="1" x14ac:dyDescent="0.35"/>
    <row r="273" spans="2:3" ht="12.75" customHeight="1" x14ac:dyDescent="0.35"/>
    <row r="274" spans="2:3" ht="12.75" customHeight="1" x14ac:dyDescent="0.35">
      <c r="B274" s="97" t="s">
        <v>3686</v>
      </c>
    </row>
    <row r="275" spans="2:3" ht="12.75" customHeight="1" x14ac:dyDescent="0.35">
      <c r="B275" s="104"/>
      <c r="C275" s="97" t="s">
        <v>3688</v>
      </c>
    </row>
    <row r="276" spans="2:3" ht="12.75" customHeight="1" x14ac:dyDescent="0.35"/>
    <row r="277" spans="2:3" ht="12.75" customHeight="1" x14ac:dyDescent="0.35"/>
    <row r="278" spans="2:3" ht="12.75" customHeight="1" x14ac:dyDescent="0.35"/>
    <row r="279" spans="2:3" ht="12.75" customHeight="1" x14ac:dyDescent="0.35"/>
    <row r="280" spans="2:3" ht="12.75" customHeight="1" x14ac:dyDescent="0.35">
      <c r="B280" s="97" t="s">
        <v>3686</v>
      </c>
    </row>
    <row r="281" spans="2:3" ht="12.75" customHeight="1" x14ac:dyDescent="0.35">
      <c r="C281" s="97" t="s">
        <v>3687</v>
      </c>
    </row>
    <row r="282" spans="2:3" ht="12.75" customHeight="1" x14ac:dyDescent="0.35"/>
    <row r="283" spans="2:3" ht="12.75" customHeight="1" x14ac:dyDescent="0.35"/>
    <row r="284" spans="2:3" ht="12.75" customHeight="1" x14ac:dyDescent="0.35">
      <c r="B284" s="97" t="s">
        <v>3686</v>
      </c>
    </row>
    <row r="285" spans="2:3" ht="12.75" customHeight="1" x14ac:dyDescent="0.35">
      <c r="B285" s="104"/>
      <c r="C285" s="97" t="s">
        <v>3688</v>
      </c>
    </row>
    <row r="286" spans="2:3" ht="12.75" customHeight="1" x14ac:dyDescent="0.35"/>
    <row r="287" spans="2:3" ht="12.75" customHeight="1" x14ac:dyDescent="0.35"/>
    <row r="288" spans="2:3" ht="12.75" customHeight="1" x14ac:dyDescent="0.35"/>
    <row r="289" spans="2:3" ht="12.75" customHeight="1" x14ac:dyDescent="0.35"/>
    <row r="290" spans="2:3" ht="12.75" customHeight="1" x14ac:dyDescent="0.35">
      <c r="B290" s="97" t="s">
        <v>3686</v>
      </c>
    </row>
    <row r="291" spans="2:3" ht="12.75" customHeight="1" x14ac:dyDescent="0.35">
      <c r="C291" s="97" t="s">
        <v>3687</v>
      </c>
    </row>
    <row r="292" spans="2:3" ht="12.75" customHeight="1" x14ac:dyDescent="0.35"/>
    <row r="293" spans="2:3" ht="12.75" customHeight="1" x14ac:dyDescent="0.35"/>
    <row r="294" spans="2:3" ht="12.75" customHeight="1" x14ac:dyDescent="0.35">
      <c r="B294" s="97" t="s">
        <v>3686</v>
      </c>
    </row>
    <row r="295" spans="2:3" ht="12.75" customHeight="1" x14ac:dyDescent="0.35">
      <c r="B295" s="104"/>
      <c r="C295" s="97" t="s">
        <v>3688</v>
      </c>
    </row>
    <row r="296" spans="2:3" ht="12.75" customHeight="1" x14ac:dyDescent="0.35"/>
    <row r="297" spans="2:3" ht="12.75" customHeight="1" x14ac:dyDescent="0.35"/>
    <row r="298" spans="2:3" ht="12.75" customHeight="1" x14ac:dyDescent="0.35"/>
    <row r="299" spans="2:3" ht="12.75" customHeight="1" x14ac:dyDescent="0.35"/>
    <row r="300" spans="2:3" ht="12.75" customHeight="1" x14ac:dyDescent="0.35">
      <c r="B300" s="97" t="s">
        <v>3686</v>
      </c>
    </row>
    <row r="301" spans="2:3" ht="12.75" customHeight="1" x14ac:dyDescent="0.35">
      <c r="C301" s="97" t="s">
        <v>3687</v>
      </c>
    </row>
    <row r="302" spans="2:3" ht="12.75" customHeight="1" x14ac:dyDescent="0.35"/>
    <row r="303" spans="2:3" ht="12.75" customHeight="1" x14ac:dyDescent="0.35"/>
    <row r="304" spans="2:3" ht="12.75" customHeight="1" x14ac:dyDescent="0.35">
      <c r="B304" s="97" t="s">
        <v>3686</v>
      </c>
    </row>
    <row r="305" spans="2:3" ht="12.75" customHeight="1" x14ac:dyDescent="0.35">
      <c r="B305" s="104"/>
      <c r="C305" s="97" t="s">
        <v>3688</v>
      </c>
    </row>
    <row r="306" spans="2:3" ht="12.75" customHeight="1" x14ac:dyDescent="0.35"/>
    <row r="307" spans="2:3" ht="12.75" customHeight="1" x14ac:dyDescent="0.35"/>
    <row r="308" spans="2:3" ht="12.75" customHeight="1" x14ac:dyDescent="0.35"/>
    <row r="309" spans="2:3" ht="12.75" customHeight="1" x14ac:dyDescent="0.35"/>
    <row r="310" spans="2:3" ht="12.75" customHeight="1" x14ac:dyDescent="0.35">
      <c r="B310" s="97" t="s">
        <v>3686</v>
      </c>
    </row>
    <row r="311" spans="2:3" ht="12.75" customHeight="1" x14ac:dyDescent="0.35">
      <c r="C311" s="97" t="s">
        <v>3687</v>
      </c>
    </row>
    <row r="312" spans="2:3" ht="12.75" customHeight="1" x14ac:dyDescent="0.35"/>
    <row r="313" spans="2:3" ht="12.75" customHeight="1" x14ac:dyDescent="0.35"/>
    <row r="314" spans="2:3" ht="12.75" customHeight="1" x14ac:dyDescent="0.35">
      <c r="B314" s="97" t="s">
        <v>3686</v>
      </c>
    </row>
    <row r="315" spans="2:3" ht="12.75" customHeight="1" x14ac:dyDescent="0.35">
      <c r="B315" s="104"/>
      <c r="C315" s="97" t="s">
        <v>3688</v>
      </c>
    </row>
    <row r="316" spans="2:3" ht="12.75" customHeight="1" x14ac:dyDescent="0.35"/>
    <row r="317" spans="2:3" ht="12.75" customHeight="1" x14ac:dyDescent="0.35"/>
    <row r="318" spans="2:3" ht="12.75" customHeight="1" x14ac:dyDescent="0.35">
      <c r="B318" s="97" t="s">
        <v>3689</v>
      </c>
    </row>
    <row r="319" spans="2:3" ht="12.75" customHeight="1" x14ac:dyDescent="0.35">
      <c r="B319" s="97" t="s">
        <v>3690</v>
      </c>
    </row>
    <row r="320" spans="2:3" ht="12.75" customHeight="1" x14ac:dyDescent="0.35">
      <c r="B320" s="97" t="s">
        <v>2533</v>
      </c>
    </row>
    <row r="321" spans="2:4" ht="12.75" customHeight="1" x14ac:dyDescent="0.35">
      <c r="B321" s="97" t="s">
        <v>3691</v>
      </c>
    </row>
    <row r="322" spans="2:4" ht="12.75" customHeight="1" x14ac:dyDescent="0.35">
      <c r="B322" s="97" t="s">
        <v>3687</v>
      </c>
    </row>
    <row r="323" spans="2:4" ht="12.75" customHeight="1" x14ac:dyDescent="0.35">
      <c r="B323" s="97" t="s">
        <v>3692</v>
      </c>
    </row>
    <row r="324" spans="2:4" ht="12.75" customHeight="1" x14ac:dyDescent="0.35">
      <c r="B324" s="97" t="s">
        <v>3690</v>
      </c>
    </row>
    <row r="325" spans="2:4" ht="12.75" customHeight="1" x14ac:dyDescent="0.35">
      <c r="B325" s="97" t="s">
        <v>3684</v>
      </c>
    </row>
    <row r="326" spans="2:4" ht="12.75" customHeight="1" x14ac:dyDescent="0.35">
      <c r="B326" s="97" t="s">
        <v>3691</v>
      </c>
    </row>
    <row r="327" spans="2:4" ht="12.75" customHeight="1" x14ac:dyDescent="0.35">
      <c r="B327" s="97" t="s">
        <v>3688</v>
      </c>
    </row>
    <row r="328" spans="2:4" ht="12.75" customHeight="1" x14ac:dyDescent="0.35"/>
    <row r="329" spans="2:4" ht="12.75" customHeight="1" x14ac:dyDescent="0.35">
      <c r="B329" s="97" t="s">
        <v>3693</v>
      </c>
    </row>
    <row r="330" spans="2:4" ht="12.75" customHeight="1" x14ac:dyDescent="0.35">
      <c r="B330" s="97" t="s">
        <v>3694</v>
      </c>
    </row>
    <row r="331" spans="2:4" ht="12.75" customHeight="1" x14ac:dyDescent="0.35">
      <c r="B331" s="97" t="s">
        <v>3695</v>
      </c>
    </row>
    <row r="332" spans="2:4" ht="12.75" customHeight="1" x14ac:dyDescent="0.35">
      <c r="B332" s="97" t="s">
        <v>3696</v>
      </c>
    </row>
    <row r="333" spans="2:4" ht="12.75" customHeight="1" x14ac:dyDescent="0.35">
      <c r="B333" s="97" t="s">
        <v>3697</v>
      </c>
    </row>
    <row r="334" spans="2:4" ht="12.75" customHeight="1" x14ac:dyDescent="0.35"/>
    <row r="335" spans="2:4" ht="12.75" customHeight="1" x14ac:dyDescent="0.35">
      <c r="B335" s="97" t="s">
        <v>3698</v>
      </c>
      <c r="D335" s="97" t="s">
        <v>3699</v>
      </c>
    </row>
    <row r="336" spans="2:4" ht="12.75" customHeight="1" x14ac:dyDescent="0.35">
      <c r="B336" s="97" t="s">
        <v>3700</v>
      </c>
    </row>
    <row r="337" spans="2:3" ht="12.75" customHeight="1" x14ac:dyDescent="0.35">
      <c r="B337" s="97" t="s">
        <v>3701</v>
      </c>
    </row>
    <row r="338" spans="2:3" ht="12.75" customHeight="1" x14ac:dyDescent="0.35">
      <c r="B338" s="97" t="s">
        <v>3702</v>
      </c>
    </row>
    <row r="339" spans="2:3" ht="12.75" customHeight="1" x14ac:dyDescent="0.35">
      <c r="B339" s="97" t="s">
        <v>3703</v>
      </c>
    </row>
    <row r="340" spans="2:3" ht="12.75" customHeight="1" x14ac:dyDescent="0.35">
      <c r="B340" s="97" t="s">
        <v>3704</v>
      </c>
    </row>
    <row r="341" spans="2:3" ht="12.75" customHeight="1" x14ac:dyDescent="0.35">
      <c r="B341" s="97" t="s">
        <v>3705</v>
      </c>
    </row>
    <row r="342" spans="2:3" ht="12.75" customHeight="1" x14ac:dyDescent="0.35">
      <c r="B342" s="97" t="s">
        <v>3706</v>
      </c>
    </row>
    <row r="343" spans="2:3" ht="12.75" customHeight="1" x14ac:dyDescent="0.35">
      <c r="B343" s="97" t="s">
        <v>3707</v>
      </c>
    </row>
    <row r="344" spans="2:3" ht="12.75" customHeight="1" x14ac:dyDescent="0.35">
      <c r="B344" s="97" t="s">
        <v>3708</v>
      </c>
    </row>
    <row r="345" spans="2:3" ht="12.75" customHeight="1" x14ac:dyDescent="0.35">
      <c r="B345" s="97" t="s">
        <v>3709</v>
      </c>
    </row>
    <row r="346" spans="2:3" ht="12.75" customHeight="1" x14ac:dyDescent="0.35">
      <c r="B346" s="97" t="s">
        <v>3710</v>
      </c>
    </row>
    <row r="347" spans="2:3" ht="12.75" customHeight="1" x14ac:dyDescent="0.35">
      <c r="C347" s="97" t="s">
        <v>3711</v>
      </c>
    </row>
    <row r="348" spans="2:3" ht="12.75" customHeight="1" x14ac:dyDescent="0.35"/>
    <row r="349" spans="2:3" ht="12.75" customHeight="1" x14ac:dyDescent="0.35">
      <c r="C349" s="97" t="s">
        <v>3712</v>
      </c>
    </row>
    <row r="350" spans="2:3" ht="12.75" customHeight="1" x14ac:dyDescent="0.35">
      <c r="C350" s="97" t="s">
        <v>3713</v>
      </c>
    </row>
    <row r="351" spans="2:3" ht="12.75" customHeight="1" x14ac:dyDescent="0.35">
      <c r="C351" s="97" t="s">
        <v>704</v>
      </c>
    </row>
    <row r="352" spans="2:3"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spans="3:3" ht="12.75" customHeight="1" x14ac:dyDescent="0.35">
      <c r="C385" s="97" t="s">
        <v>3714</v>
      </c>
    </row>
    <row r="386" spans="3:3" ht="12.75" customHeight="1" x14ac:dyDescent="0.35"/>
    <row r="387" spans="3:3" ht="12.75" customHeight="1" x14ac:dyDescent="0.35"/>
    <row r="388" spans="3:3" ht="12.75" customHeight="1" x14ac:dyDescent="0.35"/>
    <row r="389" spans="3:3" ht="12.75" customHeight="1" x14ac:dyDescent="0.35"/>
    <row r="390" spans="3:3" ht="12.75" customHeight="1" x14ac:dyDescent="0.35"/>
    <row r="391" spans="3:3" ht="12.75" customHeight="1" x14ac:dyDescent="0.35"/>
    <row r="392" spans="3:3" ht="12.75" customHeight="1" x14ac:dyDescent="0.35"/>
    <row r="393" spans="3:3" ht="12.75" customHeight="1" x14ac:dyDescent="0.35"/>
    <row r="394" spans="3:3" ht="12.75" customHeight="1" x14ac:dyDescent="0.35"/>
    <row r="395" spans="3:3" ht="12.75" customHeight="1" x14ac:dyDescent="0.35"/>
    <row r="396" spans="3:3" ht="12.75" customHeight="1" x14ac:dyDescent="0.35"/>
    <row r="397" spans="3:3" ht="12.75" customHeight="1" x14ac:dyDescent="0.35"/>
    <row r="398" spans="3:3" ht="12.75" customHeight="1" x14ac:dyDescent="0.35"/>
    <row r="399" spans="3:3" ht="12.75" customHeight="1" x14ac:dyDescent="0.35"/>
    <row r="400" spans="3:3"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spans="2:3" ht="12.75" customHeight="1" x14ac:dyDescent="0.35"/>
    <row r="418" spans="2:3" ht="12.75" customHeight="1" x14ac:dyDescent="0.35"/>
    <row r="419" spans="2:3" ht="12.75" customHeight="1" x14ac:dyDescent="0.35"/>
    <row r="420" spans="2:3" ht="12.75" customHeight="1" x14ac:dyDescent="0.35"/>
    <row r="421" spans="2:3" ht="12.75" customHeight="1" x14ac:dyDescent="0.35"/>
    <row r="422" spans="2:3" ht="12.75" customHeight="1" x14ac:dyDescent="0.35">
      <c r="C422" s="97" t="s">
        <v>3715</v>
      </c>
    </row>
    <row r="423" spans="2:3" ht="12.75" customHeight="1" x14ac:dyDescent="0.35">
      <c r="B423" s="97" t="s">
        <v>3716</v>
      </c>
    </row>
    <row r="424" spans="2:3" ht="12.75" customHeight="1" x14ac:dyDescent="0.35">
      <c r="B424" s="97" t="s">
        <v>3717</v>
      </c>
    </row>
    <row r="425" spans="2:3" ht="12.75" customHeight="1" x14ac:dyDescent="0.35">
      <c r="B425" s="97" t="s">
        <v>2533</v>
      </c>
    </row>
    <row r="426" spans="2:3" ht="12.75" customHeight="1" x14ac:dyDescent="0.35">
      <c r="B426" s="97" t="s">
        <v>3718</v>
      </c>
    </row>
    <row r="427" spans="2:3" ht="12.75" customHeight="1" x14ac:dyDescent="0.35">
      <c r="B427" s="97" t="s">
        <v>3719</v>
      </c>
    </row>
    <row r="428" spans="2:3" ht="12.75" customHeight="1" x14ac:dyDescent="0.35">
      <c r="B428" s="97" t="s">
        <v>3720</v>
      </c>
    </row>
    <row r="429" spans="2:3" ht="12.75" customHeight="1" x14ac:dyDescent="0.35">
      <c r="B429" s="97" t="s">
        <v>3721</v>
      </c>
    </row>
    <row r="430" spans="2:3" ht="12.75" customHeight="1" x14ac:dyDescent="0.35">
      <c r="B430" s="97" t="s">
        <v>3722</v>
      </c>
    </row>
    <row r="431" spans="2:3" ht="12.75" customHeight="1" x14ac:dyDescent="0.35">
      <c r="B431" s="97" t="s">
        <v>3723</v>
      </c>
    </row>
    <row r="432" spans="2:3" ht="12.75" customHeight="1" x14ac:dyDescent="0.35">
      <c r="B432" s="97" t="s">
        <v>3724</v>
      </c>
    </row>
    <row r="433" spans="2:3" ht="12.75" customHeight="1" x14ac:dyDescent="0.35"/>
    <row r="434" spans="2:3" ht="12.75" customHeight="1" x14ac:dyDescent="0.35"/>
    <row r="435" spans="2:3" ht="12.75" customHeight="1" x14ac:dyDescent="0.35"/>
    <row r="436" spans="2:3" ht="12.75" customHeight="1" x14ac:dyDescent="0.35"/>
    <row r="437" spans="2:3" ht="12.75" customHeight="1" x14ac:dyDescent="0.35"/>
    <row r="438" spans="2:3" ht="12.75" customHeight="1" x14ac:dyDescent="0.35"/>
    <row r="439" spans="2:3" ht="12.75" customHeight="1" x14ac:dyDescent="0.35">
      <c r="B439" s="97" t="s">
        <v>3725</v>
      </c>
    </row>
    <row r="440" spans="2:3" ht="12.75" customHeight="1" x14ac:dyDescent="0.35"/>
    <row r="441" spans="2:3" ht="12.75" customHeight="1" x14ac:dyDescent="0.35">
      <c r="B441" s="97" t="s">
        <v>3681</v>
      </c>
    </row>
    <row r="442" spans="2:3" ht="12.75" customHeight="1" x14ac:dyDescent="0.35">
      <c r="B442" s="97" t="s">
        <v>3726</v>
      </c>
    </row>
    <row r="443" spans="2:3" ht="12.75" customHeight="1" x14ac:dyDescent="0.35">
      <c r="C443" s="1332" t="s">
        <v>6350</v>
      </c>
    </row>
    <row r="444" spans="2:3" ht="12.75" customHeight="1" x14ac:dyDescent="0.35">
      <c r="C444" s="1332" t="s">
        <v>6351</v>
      </c>
    </row>
    <row r="445" spans="2:3" ht="12.75" customHeight="1" x14ac:dyDescent="0.35">
      <c r="C445" s="1332" t="s">
        <v>6352</v>
      </c>
    </row>
    <row r="446" spans="2:3" ht="12.75" customHeight="1" x14ac:dyDescent="0.35">
      <c r="C446" s="1332" t="s">
        <v>6353</v>
      </c>
    </row>
    <row r="447" spans="2:3" ht="12.75" customHeight="1" x14ac:dyDescent="0.35"/>
    <row r="448" spans="2:3" ht="12.75" customHeight="1" x14ac:dyDescent="0.35"/>
    <row r="449" spans="2:3" ht="12.75" customHeight="1" x14ac:dyDescent="0.35"/>
    <row r="450" spans="2:3" ht="12.75" customHeight="1" x14ac:dyDescent="0.35"/>
    <row r="451" spans="2:3" ht="12.75" customHeight="1" x14ac:dyDescent="0.35"/>
    <row r="452" spans="2:3" ht="12.75" customHeight="1" x14ac:dyDescent="0.35"/>
    <row r="453" spans="2:3" ht="12.75" customHeight="1" x14ac:dyDescent="0.35"/>
    <row r="454" spans="2:3" ht="12.75" customHeight="1" x14ac:dyDescent="0.35"/>
    <row r="455" spans="2:3" ht="12.75" customHeight="1" x14ac:dyDescent="0.35"/>
    <row r="456" spans="2:3" ht="12.75" customHeight="1" x14ac:dyDescent="0.35">
      <c r="B456" s="97" t="s">
        <v>3727</v>
      </c>
    </row>
    <row r="457" spans="2:3" ht="12.75" customHeight="1" x14ac:dyDescent="0.35">
      <c r="B457" s="97" t="s">
        <v>5556</v>
      </c>
    </row>
    <row r="458" spans="2:3" ht="12.75" customHeight="1" x14ac:dyDescent="0.35">
      <c r="B458" s="97" t="str">
        <f>IF(PrintMode=0,"      ","")&amp;"Otros ingresos de explotación"</f>
        <v xml:space="preserve">      Otros ingresos de explotación</v>
      </c>
    </row>
    <row r="459" spans="2:3" ht="12.75" customHeight="1" x14ac:dyDescent="0.35">
      <c r="B459" s="97" t="s">
        <v>3728</v>
      </c>
    </row>
    <row r="460" spans="2:3" ht="12.75" customHeight="1" x14ac:dyDescent="0.35">
      <c r="C460" s="97" t="s">
        <v>3729</v>
      </c>
    </row>
    <row r="461" spans="2:3" ht="12.75" customHeight="1" x14ac:dyDescent="0.35">
      <c r="C461" s="1332" t="s">
        <v>3732</v>
      </c>
    </row>
    <row r="462" spans="2:3" ht="12.75" customHeight="1" x14ac:dyDescent="0.35">
      <c r="C462" s="1332" t="s">
        <v>6354</v>
      </c>
    </row>
    <row r="463" spans="2:3" ht="12.75" customHeight="1" x14ac:dyDescent="0.35">
      <c r="C463" s="97" t="s">
        <v>3730</v>
      </c>
    </row>
    <row r="464" spans="2:3" ht="12.75" customHeight="1" x14ac:dyDescent="0.35">
      <c r="C464" s="97" t="s">
        <v>3731</v>
      </c>
    </row>
    <row r="465" spans="2:3" ht="12.75" customHeight="1" x14ac:dyDescent="0.35">
      <c r="C465" s="97" t="s">
        <v>3732</v>
      </c>
    </row>
    <row r="466" spans="2:3" ht="12.75" customHeight="1" x14ac:dyDescent="0.35"/>
    <row r="467" spans="2:3" ht="12.75" customHeight="1" x14ac:dyDescent="0.35"/>
    <row r="468" spans="2:3" ht="12.75" customHeight="1" x14ac:dyDescent="0.35"/>
    <row r="469" spans="2:3" ht="12.75" customHeight="1" x14ac:dyDescent="0.35"/>
    <row r="470" spans="2:3" ht="12.75" customHeight="1" x14ac:dyDescent="0.35"/>
    <row r="471" spans="2:3" ht="12.75" customHeight="1" x14ac:dyDescent="0.35"/>
    <row r="472" spans="2:3" ht="12.75" customHeight="1" x14ac:dyDescent="0.35">
      <c r="B472" s="97" t="s">
        <v>3733</v>
      </c>
    </row>
    <row r="473" spans="2:3" ht="12.75" customHeight="1" x14ac:dyDescent="0.35">
      <c r="B473" s="97" t="s">
        <v>5556</v>
      </c>
    </row>
    <row r="474" spans="2:3" ht="12.75" customHeight="1" x14ac:dyDescent="0.35">
      <c r="B474" s="97" t="s">
        <v>5557</v>
      </c>
    </row>
    <row r="475" spans="2:3" ht="12.75" customHeight="1" x14ac:dyDescent="0.35">
      <c r="B475" s="97" t="s">
        <v>3734</v>
      </c>
    </row>
    <row r="476" spans="2:3" ht="12.75" customHeight="1" x14ac:dyDescent="0.35">
      <c r="C476" s="97" t="s">
        <v>3731</v>
      </c>
    </row>
    <row r="477" spans="2:3" ht="12.75" customHeight="1" x14ac:dyDescent="0.35">
      <c r="C477" s="97" t="s">
        <v>3735</v>
      </c>
    </row>
    <row r="478" spans="2:3" ht="12.75" customHeight="1" x14ac:dyDescent="0.35">
      <c r="C478" s="97" t="s">
        <v>3736</v>
      </c>
    </row>
    <row r="479" spans="2:3" ht="12.75" customHeight="1" x14ac:dyDescent="0.35"/>
    <row r="480" spans="2:3" ht="12.75" customHeight="1" x14ac:dyDescent="0.35"/>
    <row r="481" spans="1:3" ht="12.75" customHeight="1" x14ac:dyDescent="0.35"/>
    <row r="482" spans="1:3" ht="12.75" customHeight="1" x14ac:dyDescent="0.35"/>
    <row r="483" spans="1:3" ht="12.75" customHeight="1" x14ac:dyDescent="0.35"/>
    <row r="484" spans="1:3" ht="12.75" customHeight="1" x14ac:dyDescent="0.35"/>
    <row r="485" spans="1:3" ht="12.75" customHeight="1" x14ac:dyDescent="0.35"/>
    <row r="486" spans="1:3" ht="12.75" customHeight="1" x14ac:dyDescent="0.35">
      <c r="A486" s="101"/>
      <c r="B486" s="97" t="s">
        <v>3737</v>
      </c>
    </row>
    <row r="487" spans="1:3" ht="12.75" customHeight="1" x14ac:dyDescent="0.35">
      <c r="A487" s="101"/>
      <c r="B487" s="1277" t="s">
        <v>5676</v>
      </c>
    </row>
    <row r="488" spans="1:3" ht="12.75" customHeight="1" x14ac:dyDescent="0.35">
      <c r="B488" s="97" t="s">
        <v>3738</v>
      </c>
    </row>
    <row r="489" spans="1:3" ht="12.75" customHeight="1" x14ac:dyDescent="0.35">
      <c r="B489" s="97" t="s">
        <v>5556</v>
      </c>
    </row>
    <row r="490" spans="1:3" ht="12.75" customHeight="1" x14ac:dyDescent="0.35">
      <c r="B490" s="97" t="s">
        <v>5339</v>
      </c>
    </row>
    <row r="491" spans="1:3" ht="12.75" customHeight="1" x14ac:dyDescent="0.35">
      <c r="B491" s="97" t="s">
        <v>2533</v>
      </c>
    </row>
    <row r="492" spans="1:3" ht="12.75" customHeight="1" x14ac:dyDescent="0.35">
      <c r="C492" s="97" t="s">
        <v>3739</v>
      </c>
    </row>
    <row r="493" spans="1:3" ht="12.75" customHeight="1" x14ac:dyDescent="0.35">
      <c r="C493" s="97" t="s">
        <v>3740</v>
      </c>
    </row>
    <row r="494" spans="1:3" ht="12.75" customHeight="1" x14ac:dyDescent="0.35">
      <c r="B494" s="97" t="s">
        <v>3741</v>
      </c>
    </row>
    <row r="495" spans="1:3" ht="12.75" customHeight="1" x14ac:dyDescent="0.35">
      <c r="B495" s="97" t="s">
        <v>5556</v>
      </c>
    </row>
    <row r="496" spans="1:3" ht="12.75" customHeight="1" x14ac:dyDescent="0.35">
      <c r="B496" s="97" t="s">
        <v>5558</v>
      </c>
    </row>
    <row r="497" spans="1:3" ht="12.75" customHeight="1" x14ac:dyDescent="0.35">
      <c r="B497" s="97" t="s">
        <v>3742</v>
      </c>
    </row>
    <row r="498" spans="1:3" ht="12.75" customHeight="1" x14ac:dyDescent="0.35">
      <c r="C498" s="97" t="s">
        <v>3742</v>
      </c>
    </row>
    <row r="499" spans="1:3" ht="12.75" customHeight="1" x14ac:dyDescent="0.35">
      <c r="C499" s="97" t="s">
        <v>3743</v>
      </c>
    </row>
    <row r="500" spans="1:3" ht="12.75" customHeight="1" x14ac:dyDescent="0.35">
      <c r="B500" s="97" t="s">
        <v>3744</v>
      </c>
    </row>
    <row r="501" spans="1:3" ht="12.75" customHeight="1" x14ac:dyDescent="0.35">
      <c r="B501" s="97" t="s">
        <v>3745</v>
      </c>
    </row>
    <row r="502" spans="1:3" ht="12.75" customHeight="1" x14ac:dyDescent="0.35">
      <c r="C502" s="97" t="s">
        <v>3746</v>
      </c>
    </row>
    <row r="503" spans="1:3" ht="12.75" customHeight="1" x14ac:dyDescent="0.35">
      <c r="C503" s="97" t="s">
        <v>3747</v>
      </c>
    </row>
    <row r="504" spans="1:3" ht="12.75" customHeight="1" x14ac:dyDescent="0.35">
      <c r="B504" s="97" t="s">
        <v>3748</v>
      </c>
    </row>
    <row r="505" spans="1:3" ht="12.75" customHeight="1" x14ac:dyDescent="0.35">
      <c r="B505" s="97" t="s">
        <v>3749</v>
      </c>
    </row>
    <row r="506" spans="1:3" ht="12.75" customHeight="1" x14ac:dyDescent="0.35">
      <c r="C506" s="97" t="s">
        <v>3750</v>
      </c>
    </row>
    <row r="507" spans="1:3" ht="12.75" customHeight="1" x14ac:dyDescent="0.35">
      <c r="C507" s="97" t="str">
        <f>IF(CalculatedDepreciation,"Otras a","A")&amp;"signación"&amp;IF(CalculatedDepreciation,"es","")&amp;", aumento (-) / disminución (+)"</f>
        <v>Asignación, aumento (-) / disminución (+)</v>
      </c>
    </row>
    <row r="508" spans="1:3" ht="12.75" customHeight="1" x14ac:dyDescent="0.35">
      <c r="B508" s="97" t="s">
        <v>2584</v>
      </c>
    </row>
    <row r="509" spans="1:3" ht="12.75" customHeight="1" x14ac:dyDescent="0.35">
      <c r="A509" s="101"/>
      <c r="B509" s="97" t="s">
        <v>3751</v>
      </c>
    </row>
    <row r="510" spans="1:3" ht="12.75" customHeight="1" x14ac:dyDescent="0.35">
      <c r="B510" s="97" t="s">
        <v>3752</v>
      </c>
    </row>
    <row r="511" spans="1:3" ht="12.75" customHeight="1" x14ac:dyDescent="0.35">
      <c r="B511" s="97" t="s">
        <v>3753</v>
      </c>
    </row>
    <row r="512" spans="1:3" ht="12.75" customHeight="1" x14ac:dyDescent="0.35">
      <c r="B512" s="97" t="s">
        <v>5556</v>
      </c>
    </row>
    <row r="513" spans="2:2" ht="12.75" customHeight="1" x14ac:dyDescent="0.35">
      <c r="B513" s="97" t="s">
        <v>5559</v>
      </c>
    </row>
    <row r="514" spans="2:2" ht="12.75" customHeight="1" x14ac:dyDescent="0.35">
      <c r="B514" s="97" t="s">
        <v>3754</v>
      </c>
    </row>
    <row r="515" spans="2:2" ht="12.75" customHeight="1" x14ac:dyDescent="0.35">
      <c r="B515" s="97" t="s">
        <v>3755</v>
      </c>
    </row>
    <row r="516" spans="2:2" ht="12.75" customHeight="1" x14ac:dyDescent="0.35">
      <c r="B516" s="97" t="s">
        <v>3756</v>
      </c>
    </row>
    <row r="517" spans="2:2" ht="12.75" customHeight="1" x14ac:dyDescent="0.35">
      <c r="B517" s="97" t="s">
        <v>3757</v>
      </c>
    </row>
    <row r="518" spans="2:2" ht="12.75" customHeight="1" x14ac:dyDescent="0.35">
      <c r="B518" s="97" t="s">
        <v>3758</v>
      </c>
    </row>
    <row r="519" spans="2:2" ht="12.75" customHeight="1" x14ac:dyDescent="0.35">
      <c r="B519" s="97" t="s">
        <v>3759</v>
      </c>
    </row>
    <row r="520" spans="2:2" ht="12.75" customHeight="1" x14ac:dyDescent="0.35">
      <c r="B520" s="97" t="s">
        <v>3760</v>
      </c>
    </row>
    <row r="521" spans="2:2" ht="12.75" customHeight="1" x14ac:dyDescent="0.35"/>
    <row r="522" spans="2:2" ht="12.75" customHeight="1" x14ac:dyDescent="0.35"/>
    <row r="523" spans="2:2" ht="12.75" customHeight="1" x14ac:dyDescent="0.35">
      <c r="B523" s="97" t="s">
        <v>3761</v>
      </c>
    </row>
    <row r="524" spans="2:2" ht="12.75" customHeight="1" x14ac:dyDescent="0.35">
      <c r="B524" s="97" t="s">
        <v>3762</v>
      </c>
    </row>
    <row r="525" spans="2:2" ht="12.75" customHeight="1" x14ac:dyDescent="0.35">
      <c r="B525" s="97" t="s">
        <v>2533</v>
      </c>
    </row>
    <row r="526" spans="2:2" ht="12.75" customHeight="1" x14ac:dyDescent="0.35">
      <c r="B526" s="97" t="s">
        <v>3763</v>
      </c>
    </row>
    <row r="527" spans="2:2" ht="12.75" customHeight="1" x14ac:dyDescent="0.35">
      <c r="B527" s="97" t="s">
        <v>3764</v>
      </c>
    </row>
    <row r="528" spans="2:2" ht="12.75" customHeight="1" x14ac:dyDescent="0.35">
      <c r="B528" s="97" t="s">
        <v>3765</v>
      </c>
    </row>
    <row r="529" spans="2:2" ht="12.75" customHeight="1" x14ac:dyDescent="0.35">
      <c r="B529" s="97" t="s">
        <v>3766</v>
      </c>
    </row>
    <row r="530" spans="2:2" ht="12.75" customHeight="1" x14ac:dyDescent="0.35">
      <c r="B530" s="97" t="s">
        <v>3767</v>
      </c>
    </row>
    <row r="531" spans="2:2" ht="12.75" customHeight="1" x14ac:dyDescent="0.35">
      <c r="B531" s="97" t="s">
        <v>3768</v>
      </c>
    </row>
    <row r="532" spans="2:2" ht="12.75" customHeight="1" x14ac:dyDescent="0.35">
      <c r="B532" s="97" t="s">
        <v>3769</v>
      </c>
    </row>
    <row r="533" spans="2:2" ht="12.75" customHeight="1" x14ac:dyDescent="0.35">
      <c r="B533" s="97" t="s">
        <v>3770</v>
      </c>
    </row>
    <row r="534" spans="2:2" ht="12.75" customHeight="1" x14ac:dyDescent="0.35">
      <c r="B534" s="97" t="s">
        <v>3771</v>
      </c>
    </row>
    <row r="535" spans="2:2" ht="12.75" customHeight="1" x14ac:dyDescent="0.35">
      <c r="B535" s="97" t="s">
        <v>3772</v>
      </c>
    </row>
    <row r="536" spans="2:2" ht="12.75" customHeight="1" x14ac:dyDescent="0.35">
      <c r="B536" s="97" t="s">
        <v>3773</v>
      </c>
    </row>
    <row r="537" spans="2:2" ht="12.75" customHeight="1" x14ac:dyDescent="0.35"/>
    <row r="538" spans="2:2" ht="12.75" customHeight="1" x14ac:dyDescent="0.35"/>
    <row r="539" spans="2:2" ht="12.75" customHeight="1" x14ac:dyDescent="0.35"/>
    <row r="540" spans="2:2" ht="12.75" customHeight="1" x14ac:dyDescent="0.35"/>
    <row r="541" spans="2:2" ht="12.75" customHeight="1" x14ac:dyDescent="0.35"/>
    <row r="542" spans="2:2" ht="12.75" customHeight="1" x14ac:dyDescent="0.35">
      <c r="B542" s="97" t="s">
        <v>3774</v>
      </c>
    </row>
    <row r="543" spans="2:2" ht="12.75" customHeight="1" x14ac:dyDescent="0.35"/>
    <row r="544" spans="2:2" ht="12.75" customHeight="1" x14ac:dyDescent="0.35">
      <c r="B544" s="97" t="s">
        <v>3681</v>
      </c>
    </row>
    <row r="545" spans="2:4" ht="12.75" customHeight="1" x14ac:dyDescent="0.35">
      <c r="B545" s="97" t="s">
        <v>3775</v>
      </c>
    </row>
    <row r="546" spans="2:4" ht="12.75" customHeight="1" x14ac:dyDescent="0.35">
      <c r="C546" s="159" t="s">
        <v>3776</v>
      </c>
      <c r="D546"/>
    </row>
    <row r="547" spans="2:4" ht="12.75" customHeight="1" x14ac:dyDescent="0.35">
      <c r="C547" s="159" t="s">
        <v>3777</v>
      </c>
      <c r="D547"/>
    </row>
    <row r="548" spans="2:4" ht="12.75" customHeight="1" x14ac:dyDescent="0.35">
      <c r="C548" s="159" t="s">
        <v>3778</v>
      </c>
      <c r="D548"/>
    </row>
    <row r="549" spans="2:4" ht="12.75" customHeight="1" x14ac:dyDescent="0.35">
      <c r="C549" s="159" t="s">
        <v>3779</v>
      </c>
      <c r="D549"/>
    </row>
    <row r="550" spans="2:4" ht="12.75" customHeight="1" x14ac:dyDescent="0.35">
      <c r="C550" s="159" t="s">
        <v>3776</v>
      </c>
      <c r="D550"/>
    </row>
    <row r="551" spans="2:4" ht="12.75" customHeight="1" x14ac:dyDescent="0.35">
      <c r="C551" s="159" t="s">
        <v>5491</v>
      </c>
      <c r="D551"/>
    </row>
    <row r="552" spans="2:4" ht="12.75" customHeight="1" x14ac:dyDescent="0.35">
      <c r="C552" s="159" t="s">
        <v>3778</v>
      </c>
      <c r="D552"/>
    </row>
    <row r="553" spans="2:4" ht="12.75" customHeight="1" x14ac:dyDescent="0.35">
      <c r="C553" s="159" t="s">
        <v>3779</v>
      </c>
      <c r="D553"/>
    </row>
    <row r="554" spans="2:4" ht="12.75" customHeight="1" x14ac:dyDescent="0.35">
      <c r="C554" s="159" t="s">
        <v>3776</v>
      </c>
      <c r="D554"/>
    </row>
    <row r="555" spans="2:4" ht="12.75" customHeight="1" x14ac:dyDescent="0.35">
      <c r="C555" s="159" t="s">
        <v>5492</v>
      </c>
      <c r="D555"/>
    </row>
    <row r="556" spans="2:4" ht="12.75" customHeight="1" x14ac:dyDescent="0.35">
      <c r="C556" s="159" t="s">
        <v>3778</v>
      </c>
      <c r="D556"/>
    </row>
    <row r="557" spans="2:4" ht="12.75" customHeight="1" x14ac:dyDescent="0.35">
      <c r="C557" s="159" t="s">
        <v>3779</v>
      </c>
      <c r="D557"/>
    </row>
    <row r="558" spans="2:4" ht="12.75" customHeight="1" x14ac:dyDescent="0.35">
      <c r="C558" s="159" t="s">
        <v>3776</v>
      </c>
      <c r="D558"/>
    </row>
    <row r="559" spans="2:4" ht="12.75" customHeight="1" x14ac:dyDescent="0.35">
      <c r="C559" s="159" t="s">
        <v>5493</v>
      </c>
      <c r="D559"/>
    </row>
    <row r="560" spans="2:4" ht="12.75" customHeight="1" x14ac:dyDescent="0.35">
      <c r="C560" s="159" t="s">
        <v>3778</v>
      </c>
      <c r="D560"/>
    </row>
    <row r="561" spans="2:4" ht="12.75" customHeight="1" x14ac:dyDescent="0.35">
      <c r="C561" s="159" t="s">
        <v>3779</v>
      </c>
      <c r="D561"/>
    </row>
    <row r="562" spans="2:4" ht="12.75" customHeight="1" x14ac:dyDescent="0.35">
      <c r="C562" s="159" t="s">
        <v>3776</v>
      </c>
      <c r="D562"/>
    </row>
    <row r="563" spans="2:4" ht="12.75" customHeight="1" x14ac:dyDescent="0.35">
      <c r="C563" s="159" t="s">
        <v>5494</v>
      </c>
      <c r="D563"/>
    </row>
    <row r="564" spans="2:4" ht="12.75" customHeight="1" x14ac:dyDescent="0.35">
      <c r="C564" s="159" t="s">
        <v>3778</v>
      </c>
      <c r="D564"/>
    </row>
    <row r="565" spans="2:4" ht="12.75" customHeight="1" x14ac:dyDescent="0.35">
      <c r="C565" s="159" t="s">
        <v>3779</v>
      </c>
      <c r="D565"/>
    </row>
    <row r="566" spans="2:4" ht="12.75" customHeight="1" x14ac:dyDescent="0.35">
      <c r="C566" s="1277" t="s">
        <v>5677</v>
      </c>
      <c r="D566"/>
    </row>
    <row r="567" spans="2:4" ht="12.75" customHeight="1" x14ac:dyDescent="0.35">
      <c r="C567" s="1277" t="s">
        <v>5707</v>
      </c>
      <c r="D567"/>
    </row>
    <row r="568" spans="2:4" ht="12.75" customHeight="1" x14ac:dyDescent="0.35">
      <c r="C568" s="97" t="s">
        <v>3780</v>
      </c>
      <c r="D568"/>
    </row>
    <row r="569" spans="2:4" ht="12.75" customHeight="1" x14ac:dyDescent="0.35">
      <c r="C569" s="97" t="s">
        <v>3781</v>
      </c>
      <c r="D569"/>
    </row>
    <row r="570" spans="2:4" ht="12.75" customHeight="1" x14ac:dyDescent="0.35">
      <c r="C570" s="1277" t="s">
        <v>5678</v>
      </c>
      <c r="D570"/>
    </row>
    <row r="571" spans="2:4" ht="12.75" customHeight="1" x14ac:dyDescent="0.35">
      <c r="C571" s="1277" t="s">
        <v>5708</v>
      </c>
      <c r="D571"/>
    </row>
    <row r="572" spans="2:4" ht="12.75" customHeight="1" x14ac:dyDescent="0.35">
      <c r="C572" s="97" t="s">
        <v>3782</v>
      </c>
      <c r="D572"/>
    </row>
    <row r="573" spans="2:4" ht="12.75" customHeight="1" x14ac:dyDescent="0.35">
      <c r="C573" s="97" t="s">
        <v>3783</v>
      </c>
      <c r="D573"/>
    </row>
    <row r="574" spans="2:4" ht="12.75" customHeight="1" x14ac:dyDescent="0.35">
      <c r="C574" s="97" t="s">
        <v>3784</v>
      </c>
      <c r="D574"/>
    </row>
    <row r="575" spans="2:4" ht="12.75" customHeight="1" x14ac:dyDescent="0.35">
      <c r="B575" s="97" t="s">
        <v>3785</v>
      </c>
      <c r="D575"/>
    </row>
    <row r="576" spans="2:4" ht="12.75" customHeight="1" x14ac:dyDescent="0.35">
      <c r="C576" s="159" t="s">
        <v>3787</v>
      </c>
      <c r="D576"/>
    </row>
    <row r="577" spans="3:4" ht="12.75" customHeight="1" x14ac:dyDescent="0.35">
      <c r="C577" s="159" t="s">
        <v>3785</v>
      </c>
      <c r="D577"/>
    </row>
    <row r="578" spans="3:4" ht="12.75" customHeight="1" x14ac:dyDescent="0.35">
      <c r="C578" s="159" t="s">
        <v>5500</v>
      </c>
      <c r="D578"/>
    </row>
    <row r="579" spans="3:4" ht="12.75" customHeight="1" x14ac:dyDescent="0.35">
      <c r="C579" s="159" t="s">
        <v>3786</v>
      </c>
      <c r="D579"/>
    </row>
    <row r="580" spans="3:4" ht="12.75" customHeight="1" x14ac:dyDescent="0.35">
      <c r="C580" s="159" t="s">
        <v>3787</v>
      </c>
      <c r="D580"/>
    </row>
    <row r="581" spans="3:4" ht="12.75" customHeight="1" x14ac:dyDescent="0.35">
      <c r="C581" s="159" t="s">
        <v>5495</v>
      </c>
      <c r="D581"/>
    </row>
    <row r="582" spans="3:4" ht="12.75" customHeight="1" x14ac:dyDescent="0.35">
      <c r="C582" s="159" t="s">
        <v>5500</v>
      </c>
      <c r="D582"/>
    </row>
    <row r="583" spans="3:4" ht="12.75" customHeight="1" x14ac:dyDescent="0.35">
      <c r="C583" s="159" t="s">
        <v>3786</v>
      </c>
      <c r="D583"/>
    </row>
    <row r="584" spans="3:4" ht="12.75" customHeight="1" x14ac:dyDescent="0.35">
      <c r="C584" s="159" t="s">
        <v>3787</v>
      </c>
      <c r="D584"/>
    </row>
    <row r="585" spans="3:4" ht="12.75" customHeight="1" x14ac:dyDescent="0.35">
      <c r="C585" s="159" t="s">
        <v>5496</v>
      </c>
      <c r="D585"/>
    </row>
    <row r="586" spans="3:4" ht="12.75" customHeight="1" x14ac:dyDescent="0.35">
      <c r="C586" s="159" t="s">
        <v>5500</v>
      </c>
      <c r="D586"/>
    </row>
    <row r="587" spans="3:4" ht="12.75" customHeight="1" x14ac:dyDescent="0.35">
      <c r="C587" s="159" t="s">
        <v>3786</v>
      </c>
      <c r="D587"/>
    </row>
    <row r="588" spans="3:4" ht="12.75" customHeight="1" x14ac:dyDescent="0.35">
      <c r="C588" s="159" t="s">
        <v>3787</v>
      </c>
      <c r="D588"/>
    </row>
    <row r="589" spans="3:4" ht="12.75" customHeight="1" x14ac:dyDescent="0.35">
      <c r="C589" s="159" t="s">
        <v>5497</v>
      </c>
      <c r="D589"/>
    </row>
    <row r="590" spans="3:4" ht="12.75" customHeight="1" x14ac:dyDescent="0.35">
      <c r="C590" s="159" t="s">
        <v>5500</v>
      </c>
      <c r="D590"/>
    </row>
    <row r="591" spans="3:4" ht="12.75" customHeight="1" x14ac:dyDescent="0.35">
      <c r="C591" s="159" t="s">
        <v>3786</v>
      </c>
      <c r="D591"/>
    </row>
    <row r="592" spans="3:4" ht="12.75" customHeight="1" x14ac:dyDescent="0.35">
      <c r="C592" s="159" t="s">
        <v>3787</v>
      </c>
      <c r="D592"/>
    </row>
    <row r="593" spans="2:4" ht="12.75" customHeight="1" x14ac:dyDescent="0.35">
      <c r="C593" s="159" t="s">
        <v>5498</v>
      </c>
      <c r="D593"/>
    </row>
    <row r="594" spans="2:4" ht="12.75" customHeight="1" x14ac:dyDescent="0.35">
      <c r="C594" s="159" t="s">
        <v>5500</v>
      </c>
      <c r="D594"/>
    </row>
    <row r="595" spans="2:4" ht="12.75" customHeight="1" x14ac:dyDescent="0.35">
      <c r="C595" s="159" t="s">
        <v>3788</v>
      </c>
      <c r="D595"/>
    </row>
    <row r="596" spans="2:4" ht="12.75" customHeight="1" x14ac:dyDescent="0.35">
      <c r="C596" s="97" t="s">
        <v>3788</v>
      </c>
      <c r="D596"/>
    </row>
    <row r="597" spans="2:4" ht="12.75" customHeight="1" x14ac:dyDescent="0.35">
      <c r="B597" s="97" t="s">
        <v>3789</v>
      </c>
      <c r="D597"/>
    </row>
    <row r="598" spans="2:4" ht="12.75" customHeight="1" x14ac:dyDescent="0.35">
      <c r="C598" s="97" t="s">
        <v>3790</v>
      </c>
      <c r="D598"/>
    </row>
    <row r="599" spans="2:4" ht="12.75" customHeight="1" x14ac:dyDescent="0.35">
      <c r="C599" s="159" t="s">
        <v>3791</v>
      </c>
      <c r="D599"/>
    </row>
    <row r="600" spans="2:4" ht="12.75" customHeight="1" x14ac:dyDescent="0.35">
      <c r="C600" s="97" t="s">
        <v>3792</v>
      </c>
      <c r="D600"/>
    </row>
    <row r="601" spans="2:4" ht="12.75" customHeight="1" x14ac:dyDescent="0.35">
      <c r="C601" s="97" t="s">
        <v>3793</v>
      </c>
      <c r="D601"/>
    </row>
    <row r="602" spans="2:4" ht="12.75" customHeight="1" x14ac:dyDescent="0.35">
      <c r="C602" s="97" t="s">
        <v>3790</v>
      </c>
      <c r="D602"/>
    </row>
    <row r="603" spans="2:4" ht="12.75" customHeight="1" x14ac:dyDescent="0.35">
      <c r="C603" s="159" t="s">
        <v>5435</v>
      </c>
      <c r="D603"/>
    </row>
    <row r="604" spans="2:4" ht="12.75" customHeight="1" x14ac:dyDescent="0.35">
      <c r="C604" s="97" t="s">
        <v>3792</v>
      </c>
      <c r="D604"/>
    </row>
    <row r="605" spans="2:4" ht="12.75" customHeight="1" x14ac:dyDescent="0.35">
      <c r="C605" s="97" t="s">
        <v>3793</v>
      </c>
      <c r="D605"/>
    </row>
    <row r="606" spans="2:4" ht="12.75" customHeight="1" x14ac:dyDescent="0.35">
      <c r="C606" s="97" t="s">
        <v>3790</v>
      </c>
      <c r="D606"/>
    </row>
    <row r="607" spans="2:4" ht="12.75" customHeight="1" x14ac:dyDescent="0.35">
      <c r="C607" s="159" t="s">
        <v>5436</v>
      </c>
      <c r="D607"/>
    </row>
    <row r="608" spans="2:4" ht="12.75" customHeight="1" x14ac:dyDescent="0.35">
      <c r="C608" s="97" t="s">
        <v>3792</v>
      </c>
      <c r="D608"/>
    </row>
    <row r="609" spans="3:4" ht="12.75" customHeight="1" x14ac:dyDescent="0.35">
      <c r="C609" s="97" t="s">
        <v>3793</v>
      </c>
      <c r="D609"/>
    </row>
    <row r="610" spans="3:4" ht="12.75" customHeight="1" x14ac:dyDescent="0.35">
      <c r="C610" s="97" t="s">
        <v>3790</v>
      </c>
      <c r="D610"/>
    </row>
    <row r="611" spans="3:4" ht="12.75" customHeight="1" x14ac:dyDescent="0.35">
      <c r="C611" s="159" t="s">
        <v>5437</v>
      </c>
      <c r="D611"/>
    </row>
    <row r="612" spans="3:4" ht="12.75" customHeight="1" x14ac:dyDescent="0.35">
      <c r="C612" s="97" t="s">
        <v>3792</v>
      </c>
      <c r="D612"/>
    </row>
    <row r="613" spans="3:4" ht="12.75" customHeight="1" x14ac:dyDescent="0.35">
      <c r="C613" s="97" t="s">
        <v>3793</v>
      </c>
      <c r="D613"/>
    </row>
    <row r="614" spans="3:4" ht="12.75" customHeight="1" x14ac:dyDescent="0.35">
      <c r="C614" s="97" t="s">
        <v>3790</v>
      </c>
      <c r="D614"/>
    </row>
    <row r="615" spans="3:4" ht="12.75" customHeight="1" x14ac:dyDescent="0.35">
      <c r="C615" s="159" t="s">
        <v>5438</v>
      </c>
      <c r="D615"/>
    </row>
    <row r="616" spans="3:4" ht="12.75" customHeight="1" x14ac:dyDescent="0.35">
      <c r="C616" s="97" t="s">
        <v>3792</v>
      </c>
      <c r="D616"/>
    </row>
    <row r="617" spans="3:4" ht="12.75" customHeight="1" x14ac:dyDescent="0.35">
      <c r="C617" s="97" t="s">
        <v>3793</v>
      </c>
      <c r="D617"/>
    </row>
    <row r="618" spans="3:4" ht="12.75" customHeight="1" x14ac:dyDescent="0.35">
      <c r="C618" s="1277" t="s">
        <v>5679</v>
      </c>
      <c r="D618"/>
    </row>
    <row r="619" spans="3:4" ht="12.75" customHeight="1" x14ac:dyDescent="0.35">
      <c r="C619" s="1277" t="s">
        <v>5709</v>
      </c>
      <c r="D619"/>
    </row>
    <row r="620" spans="3:4" ht="12.75" customHeight="1" x14ac:dyDescent="0.35">
      <c r="C620" s="97" t="s">
        <v>3794</v>
      </c>
      <c r="D620"/>
    </row>
    <row r="621" spans="3:4" ht="12.75" customHeight="1" x14ac:dyDescent="0.35">
      <c r="C621" s="97" t="s">
        <v>3795</v>
      </c>
      <c r="D621"/>
    </row>
    <row r="622" spans="3:4" ht="12.75" customHeight="1" x14ac:dyDescent="0.35">
      <c r="C622" s="1277" t="s">
        <v>5680</v>
      </c>
      <c r="D622"/>
    </row>
    <row r="623" spans="3:4" ht="12.75" customHeight="1" x14ac:dyDescent="0.35">
      <c r="C623" s="1277" t="s">
        <v>5710</v>
      </c>
      <c r="D623"/>
    </row>
    <row r="624" spans="3:4" ht="12.75" customHeight="1" x14ac:dyDescent="0.35">
      <c r="C624" s="97" t="s">
        <v>3796</v>
      </c>
      <c r="D624"/>
    </row>
    <row r="625" spans="2:3" ht="12.75" customHeight="1" x14ac:dyDescent="0.35">
      <c r="B625" s="97" t="s">
        <v>3797</v>
      </c>
    </row>
    <row r="626" spans="2:3" ht="12.75" customHeight="1" x14ac:dyDescent="0.35">
      <c r="B626" s="97" t="s">
        <v>3798</v>
      </c>
    </row>
    <row r="627" spans="2:3" ht="12.75" customHeight="1" x14ac:dyDescent="0.35"/>
    <row r="628" spans="2:3" ht="12.75" customHeight="1" x14ac:dyDescent="0.35"/>
    <row r="629" spans="2:3" ht="12.75" customHeight="1" x14ac:dyDescent="0.35"/>
    <row r="630" spans="2:3" ht="12.75" customHeight="1" x14ac:dyDescent="0.35">
      <c r="B630" s="97" t="s">
        <v>3799</v>
      </c>
    </row>
    <row r="631" spans="2:3" ht="12.75" customHeight="1" x14ac:dyDescent="0.35"/>
    <row r="632" spans="2:3" ht="12.75" customHeight="1" x14ac:dyDescent="0.35">
      <c r="B632" s="97" t="s">
        <v>3681</v>
      </c>
    </row>
    <row r="633" spans="2:3" ht="12.75" customHeight="1" x14ac:dyDescent="0.35">
      <c r="B633" s="97" t="s">
        <v>3800</v>
      </c>
    </row>
    <row r="634" spans="2:3" ht="12.75" customHeight="1" x14ac:dyDescent="0.35">
      <c r="C634" s="97" t="s">
        <v>3727</v>
      </c>
    </row>
    <row r="635" spans="2:3" ht="12.75" customHeight="1" x14ac:dyDescent="0.35"/>
    <row r="636" spans="2:3" ht="12.75" customHeight="1" x14ac:dyDescent="0.35"/>
    <row r="637" spans="2:3" ht="12.75" customHeight="1" x14ac:dyDescent="0.35"/>
    <row r="638" spans="2:3" ht="12.75" customHeight="1" x14ac:dyDescent="0.35"/>
    <row r="639" spans="2:3" ht="12.75" customHeight="1" x14ac:dyDescent="0.35"/>
    <row r="640" spans="2:3" ht="12.75" customHeight="1" x14ac:dyDescent="0.35"/>
    <row r="641" spans="3:3" ht="12.75" customHeight="1" x14ac:dyDescent="0.35"/>
    <row r="642" spans="3:3" ht="12.75" customHeight="1" x14ac:dyDescent="0.35"/>
    <row r="643" spans="3:3" ht="12.75" customHeight="1" x14ac:dyDescent="0.35"/>
    <row r="644" spans="3:3" ht="12.75" customHeight="1" x14ac:dyDescent="0.35"/>
    <row r="645" spans="3:3" ht="12.75" customHeight="1" x14ac:dyDescent="0.35">
      <c r="C645" s="97" t="s">
        <v>3728</v>
      </c>
    </row>
    <row r="646" spans="3:3" ht="12.75" customHeight="1" x14ac:dyDescent="0.35"/>
    <row r="647" spans="3:3" ht="12.75" customHeight="1" x14ac:dyDescent="0.35"/>
    <row r="648" spans="3:3" ht="12.75" customHeight="1" x14ac:dyDescent="0.35"/>
    <row r="649" spans="3:3" ht="12.75" customHeight="1" x14ac:dyDescent="0.35"/>
    <row r="650" spans="3:3" ht="12.75" customHeight="1" x14ac:dyDescent="0.35"/>
    <row r="651" spans="3:3" ht="12.75" customHeight="1" x14ac:dyDescent="0.35"/>
    <row r="652" spans="3:3" ht="12.75" customHeight="1" x14ac:dyDescent="0.35"/>
    <row r="653" spans="3:3" ht="12.75" customHeight="1" x14ac:dyDescent="0.35"/>
    <row r="654" spans="3:3" ht="12.75" customHeight="1" x14ac:dyDescent="0.35"/>
    <row r="655" spans="3:3" ht="12.75" customHeight="1" x14ac:dyDescent="0.35"/>
    <row r="656" spans="3:3" ht="12.75" customHeight="1" x14ac:dyDescent="0.35">
      <c r="C656" s="97" t="s">
        <v>3734</v>
      </c>
    </row>
    <row r="657" spans="3:3" ht="12.75" customHeight="1" x14ac:dyDescent="0.35"/>
    <row r="658" spans="3:3" ht="12.75" customHeight="1" x14ac:dyDescent="0.35"/>
    <row r="659" spans="3:3" ht="12.75" customHeight="1" x14ac:dyDescent="0.35"/>
    <row r="660" spans="3:3" ht="12.75" customHeight="1" x14ac:dyDescent="0.35"/>
    <row r="661" spans="3:3" ht="12.75" customHeight="1" x14ac:dyDescent="0.35"/>
    <row r="662" spans="3:3" ht="12.75" customHeight="1" x14ac:dyDescent="0.35"/>
    <row r="663" spans="3:3" ht="12.75" customHeight="1" x14ac:dyDescent="0.35"/>
    <row r="664" spans="3:3" ht="12.75" customHeight="1" x14ac:dyDescent="0.35"/>
    <row r="665" spans="3:3" ht="12.75" customHeight="1" x14ac:dyDescent="0.35"/>
    <row r="666" spans="3:3" ht="12.75" customHeight="1" x14ac:dyDescent="0.35"/>
    <row r="667" spans="3:3" ht="12.75" customHeight="1" x14ac:dyDescent="0.35">
      <c r="C667" s="97" t="s">
        <v>3801</v>
      </c>
    </row>
    <row r="668" spans="3:3" ht="12.75" customHeight="1" x14ac:dyDescent="0.35"/>
    <row r="669" spans="3:3" ht="12.75" customHeight="1" x14ac:dyDescent="0.35">
      <c r="C669" s="97" t="s">
        <v>3797</v>
      </c>
    </row>
    <row r="670" spans="3:3" ht="12.75" customHeight="1" x14ac:dyDescent="0.35"/>
    <row r="671" spans="3:3" ht="12.75" customHeight="1" x14ac:dyDescent="0.35"/>
    <row r="672" spans="3:3" ht="12.75" customHeight="1" x14ac:dyDescent="0.35"/>
    <row r="673" spans="2:3" ht="12.75" customHeight="1" x14ac:dyDescent="0.35">
      <c r="B673" s="97" t="s">
        <v>3800</v>
      </c>
    </row>
    <row r="674" spans="2:3" ht="12.75" customHeight="1" x14ac:dyDescent="0.35">
      <c r="B674" s="97" t="s">
        <v>3680</v>
      </c>
    </row>
    <row r="675" spans="2:3" ht="12.75" customHeight="1" x14ac:dyDescent="0.35">
      <c r="B675" s="97" t="s">
        <v>3802</v>
      </c>
    </row>
    <row r="676" spans="2:3" ht="12.75" customHeight="1" x14ac:dyDescent="0.35">
      <c r="B676" s="97" t="s">
        <v>3803</v>
      </c>
    </row>
    <row r="677" spans="2:3" ht="12.75" customHeight="1" x14ac:dyDescent="0.35">
      <c r="C677" s="97" t="s">
        <v>3804</v>
      </c>
    </row>
    <row r="678" spans="2:3" ht="12.75" customHeight="1" x14ac:dyDescent="0.35"/>
    <row r="679" spans="2:3" ht="12.75" customHeight="1" x14ac:dyDescent="0.35">
      <c r="C679" s="97" t="s">
        <v>3805</v>
      </c>
    </row>
    <row r="680" spans="2:3" ht="12.75" customHeight="1" x14ac:dyDescent="0.35">
      <c r="B680" s="97" t="s">
        <v>3806</v>
      </c>
    </row>
    <row r="681" spans="2:3" ht="12.75" customHeight="1" x14ac:dyDescent="0.35">
      <c r="B681" s="97" t="s">
        <v>3807</v>
      </c>
    </row>
    <row r="682" spans="2:3" ht="12.75" customHeight="1" x14ac:dyDescent="0.35">
      <c r="B682" s="97" t="s">
        <v>3808</v>
      </c>
    </row>
    <row r="683" spans="2:3" ht="12.75" customHeight="1" x14ac:dyDescent="0.35">
      <c r="B683" s="97" t="s">
        <v>3809</v>
      </c>
    </row>
    <row r="684" spans="2:3" ht="12.75" customHeight="1" x14ac:dyDescent="0.35">
      <c r="B684" s="97" t="s">
        <v>3810</v>
      </c>
    </row>
    <row r="685" spans="2:3" ht="12.75" customHeight="1" x14ac:dyDescent="0.35">
      <c r="B685" s="97" t="s">
        <v>3811</v>
      </c>
    </row>
    <row r="686" spans="2:3" ht="12.75" customHeight="1" x14ac:dyDescent="0.35">
      <c r="B686" s="97" t="s">
        <v>3812</v>
      </c>
    </row>
    <row r="687" spans="2:3" ht="12.75" customHeight="1" x14ac:dyDescent="0.35">
      <c r="C687" s="97" t="s">
        <v>3813</v>
      </c>
    </row>
    <row r="688" spans="2:3" ht="12.75" customHeight="1" x14ac:dyDescent="0.35">
      <c r="C688" s="97" t="s">
        <v>3814</v>
      </c>
    </row>
    <row r="689" spans="2:3" ht="12.75" customHeight="1" x14ac:dyDescent="0.35">
      <c r="C689" s="97" t="s">
        <v>3815</v>
      </c>
    </row>
    <row r="690" spans="2:3" ht="12.75" customHeight="1" x14ac:dyDescent="0.35">
      <c r="C690" s="97" t="s">
        <v>3816</v>
      </c>
    </row>
    <row r="691" spans="2:3" ht="12.75" customHeight="1" x14ac:dyDescent="0.35">
      <c r="C691" s="97" t="str">
        <f>C689</f>
        <v>Deuda a largo plazo, aumento (+)/disminución (-)</v>
      </c>
    </row>
    <row r="692" spans="2:3" ht="12.75" customHeight="1" x14ac:dyDescent="0.35">
      <c r="C692" s="97" t="s">
        <v>3817</v>
      </c>
    </row>
    <row r="693" spans="2:3" ht="12.75" customHeight="1" x14ac:dyDescent="0.35">
      <c r="C693" s="97" t="s">
        <v>3818</v>
      </c>
    </row>
    <row r="694" spans="2:3" ht="12.75" customHeight="1" x14ac:dyDescent="0.35">
      <c r="C694" s="1277" t="s">
        <v>5681</v>
      </c>
    </row>
    <row r="695" spans="2:3" ht="12.75" customHeight="1" x14ac:dyDescent="0.35">
      <c r="C695" s="97" t="s">
        <v>3819</v>
      </c>
    </row>
    <row r="696" spans="2:3" ht="12.75" customHeight="1" x14ac:dyDescent="0.35">
      <c r="C696" s="97" t="s">
        <v>3820</v>
      </c>
    </row>
    <row r="697" spans="2:3" ht="12.75" customHeight="1" x14ac:dyDescent="0.35">
      <c r="B697" s="97" t="s">
        <v>3821</v>
      </c>
    </row>
    <row r="698" spans="2:3" ht="12.75" customHeight="1" x14ac:dyDescent="0.35">
      <c r="B698" s="97" t="s">
        <v>3822</v>
      </c>
    </row>
    <row r="699" spans="2:3" ht="12.75" customHeight="1" x14ac:dyDescent="0.35">
      <c r="B699" s="97" t="s">
        <v>3823</v>
      </c>
    </row>
    <row r="700" spans="2:3" ht="12.75" customHeight="1" x14ac:dyDescent="0.35">
      <c r="B700" s="97" t="s">
        <v>3824</v>
      </c>
    </row>
    <row r="701" spans="2:3" ht="12.75" customHeight="1" x14ac:dyDescent="0.35">
      <c r="C701" s="97" t="s">
        <v>3825</v>
      </c>
    </row>
    <row r="702" spans="2:3" ht="12.75" customHeight="1" x14ac:dyDescent="0.35">
      <c r="C702" s="97" t="s">
        <v>3826</v>
      </c>
    </row>
    <row r="703" spans="2:3" ht="12.75" customHeight="1" x14ac:dyDescent="0.35">
      <c r="C703" s="97" t="s">
        <v>3827</v>
      </c>
    </row>
    <row r="704" spans="2:3" ht="12.75" customHeight="1" x14ac:dyDescent="0.35">
      <c r="C704" s="97" t="s">
        <v>3828</v>
      </c>
    </row>
    <row r="705" spans="2:4" ht="12.75" customHeight="1" x14ac:dyDescent="0.35">
      <c r="C705" s="97" t="s">
        <v>3829</v>
      </c>
    </row>
    <row r="706" spans="2:4" ht="12.75" customHeight="1" x14ac:dyDescent="0.35">
      <c r="B706" s="101"/>
      <c r="C706" s="97" t="s">
        <v>3830</v>
      </c>
    </row>
    <row r="707" spans="2:4" ht="12.75" customHeight="1" x14ac:dyDescent="0.35">
      <c r="B707" s="97" t="s">
        <v>3831</v>
      </c>
    </row>
    <row r="708" spans="2:4" ht="12.75" customHeight="1" x14ac:dyDescent="0.35">
      <c r="B708" s="97" t="s">
        <v>3832</v>
      </c>
    </row>
    <row r="709" spans="2:4" ht="12.75" customHeight="1" x14ac:dyDescent="0.35"/>
    <row r="710" spans="2:4" ht="12.75" customHeight="1" x14ac:dyDescent="0.35"/>
    <row r="711" spans="2:4" ht="12.75" customHeight="1" x14ac:dyDescent="0.35"/>
    <row r="712" spans="2:4" ht="12.75" customHeight="1" x14ac:dyDescent="0.35">
      <c r="B712" s="97" t="s">
        <v>3833</v>
      </c>
    </row>
    <row r="713" spans="2:4" ht="12.75" customHeight="1" x14ac:dyDescent="0.35"/>
    <row r="714" spans="2:4" ht="12.75" customHeight="1" x14ac:dyDescent="0.35">
      <c r="B714" s="97" t="s">
        <v>3681</v>
      </c>
    </row>
    <row r="715" spans="2:4" ht="12.75" customHeight="1" x14ac:dyDescent="0.35">
      <c r="B715" s="97" t="s">
        <v>3834</v>
      </c>
      <c r="D715" s="97" t="s">
        <v>3835</v>
      </c>
    </row>
    <row r="716" spans="2:4" ht="12.75" customHeight="1" x14ac:dyDescent="0.35">
      <c r="B716" s="97" t="s">
        <v>3836</v>
      </c>
    </row>
    <row r="717" spans="2:4" ht="12.75" customHeight="1" x14ac:dyDescent="0.35">
      <c r="C717" s="97" t="s">
        <v>3837</v>
      </c>
    </row>
    <row r="718" spans="2:4" ht="12.75" customHeight="1" x14ac:dyDescent="0.35">
      <c r="C718" s="97" t="s">
        <v>3838</v>
      </c>
    </row>
    <row r="719" spans="2:4" ht="12.75" customHeight="1" x14ac:dyDescent="0.35">
      <c r="C719" s="97" t="s">
        <v>3839</v>
      </c>
    </row>
    <row r="720" spans="2:4" ht="12.75" customHeight="1" x14ac:dyDescent="0.35">
      <c r="C720" s="97" t="s">
        <v>3838</v>
      </c>
    </row>
    <row r="721" spans="2:3" ht="12.75" customHeight="1" x14ac:dyDescent="0.35">
      <c r="C721" s="97" t="s">
        <v>3713</v>
      </c>
    </row>
    <row r="722" spans="2:3" ht="12.75" customHeight="1" x14ac:dyDescent="0.35">
      <c r="C722" s="97" t="s">
        <v>3840</v>
      </c>
    </row>
    <row r="723" spans="2:3" ht="12.75" customHeight="1" x14ac:dyDescent="0.35">
      <c r="C723" s="97" t="s">
        <v>3841</v>
      </c>
    </row>
    <row r="724" spans="2:3" ht="12.75" customHeight="1" x14ac:dyDescent="0.35">
      <c r="C724" s="97" t="s">
        <v>3842</v>
      </c>
    </row>
    <row r="725" spans="2:3" ht="12.75" customHeight="1" x14ac:dyDescent="0.35">
      <c r="C725" s="97" t="s">
        <v>3713</v>
      </c>
    </row>
    <row r="726" spans="2:3" ht="12.75" customHeight="1" x14ac:dyDescent="0.35">
      <c r="C726" s="97" t="s">
        <v>3843</v>
      </c>
    </row>
    <row r="727" spans="2:3" ht="12.75" customHeight="1" x14ac:dyDescent="0.35">
      <c r="C727" s="97" t="s">
        <v>3844</v>
      </c>
    </row>
    <row r="728" spans="2:3" ht="12.75" customHeight="1" x14ac:dyDescent="0.35">
      <c r="B728" s="108"/>
      <c r="C728" s="97" t="s">
        <v>3843</v>
      </c>
    </row>
    <row r="729" spans="2:3" ht="12.75" customHeight="1" x14ac:dyDescent="0.35">
      <c r="C729" s="97" t="s">
        <v>3713</v>
      </c>
    </row>
    <row r="730" spans="2:3" ht="12.75" customHeight="1" x14ac:dyDescent="0.35">
      <c r="C730" s="97" t="s">
        <v>3845</v>
      </c>
    </row>
    <row r="731" spans="2:3" ht="12.75" customHeight="1" x14ac:dyDescent="0.35">
      <c r="C731" s="97" t="s">
        <v>3846</v>
      </c>
    </row>
    <row r="732" spans="2:3" ht="12.75" customHeight="1" x14ac:dyDescent="0.35">
      <c r="C732" s="97" t="s">
        <v>3845</v>
      </c>
    </row>
    <row r="733" spans="2:3" ht="12.75" customHeight="1" x14ac:dyDescent="0.35">
      <c r="C733" s="97" t="s">
        <v>3713</v>
      </c>
    </row>
    <row r="734" spans="2:3" ht="12.75" customHeight="1" x14ac:dyDescent="0.35">
      <c r="C734" s="97" t="s">
        <v>3847</v>
      </c>
    </row>
    <row r="735" spans="2:3" ht="12.75" customHeight="1" x14ac:dyDescent="0.35">
      <c r="C735" s="97" t="s">
        <v>3848</v>
      </c>
    </row>
    <row r="736" spans="2:3" ht="12.75" customHeight="1" x14ac:dyDescent="0.35">
      <c r="C736" s="97" t="s">
        <v>3849</v>
      </c>
    </row>
    <row r="737" spans="2:3" ht="12.75" customHeight="1" x14ac:dyDescent="0.35">
      <c r="C737" s="97" t="s">
        <v>3848</v>
      </c>
    </row>
    <row r="738" spans="2:3" ht="12.75" customHeight="1" x14ac:dyDescent="0.35">
      <c r="C738" s="97" t="s">
        <v>3713</v>
      </c>
    </row>
    <row r="739" spans="2:3" ht="12.75" customHeight="1" x14ac:dyDescent="0.35">
      <c r="C739" s="97" t="s">
        <v>3850</v>
      </c>
    </row>
    <row r="740" spans="2:3" ht="12.75" customHeight="1" x14ac:dyDescent="0.35">
      <c r="C740" s="97" t="s">
        <v>3851</v>
      </c>
    </row>
    <row r="741" spans="2:3" ht="12.75" customHeight="1" x14ac:dyDescent="0.35">
      <c r="C741" s="97" t="s">
        <v>3850</v>
      </c>
    </row>
    <row r="742" spans="2:3" ht="12.75" customHeight="1" x14ac:dyDescent="0.35">
      <c r="C742" s="97" t="s">
        <v>3713</v>
      </c>
    </row>
    <row r="743" spans="2:3" ht="12.75" customHeight="1" x14ac:dyDescent="0.35">
      <c r="C743" s="97" t="s">
        <v>3852</v>
      </c>
    </row>
    <row r="744" spans="2:3" ht="12.75" customHeight="1" x14ac:dyDescent="0.35">
      <c r="C744" s="97" t="s">
        <v>3853</v>
      </c>
    </row>
    <row r="745" spans="2:3" ht="12.75" customHeight="1" x14ac:dyDescent="0.35">
      <c r="C745" s="97" t="s">
        <v>3854</v>
      </c>
    </row>
    <row r="746" spans="2:3" ht="12.75" customHeight="1" x14ac:dyDescent="0.35">
      <c r="C746" s="97" t="s">
        <v>3713</v>
      </c>
    </row>
    <row r="747" spans="2:3" ht="12.75" customHeight="1" x14ac:dyDescent="0.35">
      <c r="B747" s="109"/>
      <c r="C747" s="97" t="s">
        <v>3855</v>
      </c>
    </row>
    <row r="748" spans="2:3" ht="12.75" customHeight="1" x14ac:dyDescent="0.35">
      <c r="B748" s="109"/>
      <c r="C748" s="97" t="s">
        <v>3856</v>
      </c>
    </row>
    <row r="749" spans="2:3" ht="12.75" customHeight="1" x14ac:dyDescent="0.35">
      <c r="B749" s="109"/>
      <c r="C749" s="97" t="s">
        <v>3855</v>
      </c>
    </row>
    <row r="750" spans="2:3" ht="12.75" customHeight="1" x14ac:dyDescent="0.35">
      <c r="B750" s="101"/>
      <c r="C750" s="97" t="s">
        <v>3713</v>
      </c>
    </row>
    <row r="751" spans="2:3" ht="12.75" customHeight="1" x14ac:dyDescent="0.35">
      <c r="C751" s="97" t="s">
        <v>3857</v>
      </c>
    </row>
    <row r="752" spans="2:3" ht="12.75" customHeight="1" x14ac:dyDescent="0.35">
      <c r="C752" s="97" t="s">
        <v>3858</v>
      </c>
    </row>
    <row r="753" spans="3:3" ht="12.75" customHeight="1" x14ac:dyDescent="0.35">
      <c r="C753" s="97" t="s">
        <v>3857</v>
      </c>
    </row>
    <row r="754" spans="3:3" ht="12.75" customHeight="1" x14ac:dyDescent="0.35">
      <c r="C754" s="97" t="s">
        <v>3713</v>
      </c>
    </row>
    <row r="755" spans="3:3" ht="12.75" customHeight="1" x14ac:dyDescent="0.35">
      <c r="C755" s="97" t="s">
        <v>3859</v>
      </c>
    </row>
    <row r="756" spans="3:3" ht="12.75" customHeight="1" x14ac:dyDescent="0.35">
      <c r="C756" s="97" t="s">
        <v>3860</v>
      </c>
    </row>
    <row r="757" spans="3:3" ht="12.75" customHeight="1" x14ac:dyDescent="0.35">
      <c r="C757" s="97" t="s">
        <v>3861</v>
      </c>
    </row>
    <row r="758" spans="3:3" ht="12.75" customHeight="1" x14ac:dyDescent="0.35">
      <c r="C758" s="97" t="s">
        <v>3860</v>
      </c>
    </row>
    <row r="759" spans="3:3" ht="12.75" customHeight="1" x14ac:dyDescent="0.35">
      <c r="C759" s="97" t="s">
        <v>3713</v>
      </c>
    </row>
    <row r="760" spans="3:3" ht="12.75" customHeight="1" x14ac:dyDescent="0.35">
      <c r="C760" s="97" t="s">
        <v>3862</v>
      </c>
    </row>
    <row r="761" spans="3:3" ht="12.75" customHeight="1" x14ac:dyDescent="0.35">
      <c r="C761" s="97" t="s">
        <v>3863</v>
      </c>
    </row>
    <row r="762" spans="3:3" ht="12.75" customHeight="1" x14ac:dyDescent="0.35">
      <c r="C762" s="97" t="s">
        <v>3862</v>
      </c>
    </row>
    <row r="763" spans="3:3" ht="12.75" customHeight="1" x14ac:dyDescent="0.35">
      <c r="C763" s="97" t="s">
        <v>3713</v>
      </c>
    </row>
    <row r="764" spans="3:3" ht="12.75" customHeight="1" x14ac:dyDescent="0.35">
      <c r="C764" s="97" t="s">
        <v>3864</v>
      </c>
    </row>
    <row r="765" spans="3:3" ht="12.75" customHeight="1" x14ac:dyDescent="0.35">
      <c r="C765" s="97" t="s">
        <v>3865</v>
      </c>
    </row>
    <row r="766" spans="3:3" ht="12.75" customHeight="1" x14ac:dyDescent="0.35">
      <c r="C766" s="97" t="s">
        <v>3864</v>
      </c>
    </row>
    <row r="767" spans="3:3" ht="12.75" customHeight="1" x14ac:dyDescent="0.35">
      <c r="C767" s="97" t="s">
        <v>3713</v>
      </c>
    </row>
    <row r="768" spans="3:3" ht="12.75" customHeight="1" x14ac:dyDescent="0.35">
      <c r="C768" s="97" t="s">
        <v>3866</v>
      </c>
    </row>
    <row r="769" spans="2:3" ht="12.75" customHeight="1" x14ac:dyDescent="0.35">
      <c r="C769" s="97" t="s">
        <v>3867</v>
      </c>
    </row>
    <row r="770" spans="2:3" ht="12.75" customHeight="1" x14ac:dyDescent="0.35">
      <c r="C770" s="97" t="s">
        <v>3866</v>
      </c>
    </row>
    <row r="771" spans="2:3" ht="12.75" customHeight="1" x14ac:dyDescent="0.35">
      <c r="C771" s="97" t="s">
        <v>3713</v>
      </c>
    </row>
    <row r="772" spans="2:3" ht="12.75" customHeight="1" x14ac:dyDescent="0.35">
      <c r="C772" s="97" t="s">
        <v>3868</v>
      </c>
    </row>
    <row r="773" spans="2:3" ht="12.75" customHeight="1" x14ac:dyDescent="0.35">
      <c r="B773" s="97" t="s">
        <v>3869</v>
      </c>
    </row>
    <row r="774" spans="2:3" ht="12.75" customHeight="1" x14ac:dyDescent="0.35">
      <c r="C774" s="97" t="s">
        <v>3870</v>
      </c>
    </row>
    <row r="775" spans="2:3" ht="12.75" customHeight="1" x14ac:dyDescent="0.35">
      <c r="C775" s="97" t="s">
        <v>3777</v>
      </c>
    </row>
    <row r="776" spans="2:3" ht="12.75" customHeight="1" x14ac:dyDescent="0.35">
      <c r="C776" s="1277" t="s">
        <v>5677</v>
      </c>
    </row>
    <row r="777" spans="2:3" ht="12.75" customHeight="1" x14ac:dyDescent="0.35">
      <c r="C777" s="97" t="s">
        <v>3780</v>
      </c>
    </row>
    <row r="778" spans="2:3" ht="12.75" customHeight="1" x14ac:dyDescent="0.35">
      <c r="C778" s="1277" t="s">
        <v>5678</v>
      </c>
    </row>
    <row r="779" spans="2:3" ht="12.75" customHeight="1" x14ac:dyDescent="0.35">
      <c r="C779" s="97" t="s">
        <v>3871</v>
      </c>
    </row>
    <row r="780" spans="2:3" ht="12.75" customHeight="1" x14ac:dyDescent="0.35">
      <c r="C780" s="97" t="s">
        <v>3872</v>
      </c>
    </row>
    <row r="781" spans="2:3" ht="12.75" customHeight="1" x14ac:dyDescent="0.35">
      <c r="B781" s="97" t="s">
        <v>3834</v>
      </c>
    </row>
    <row r="782" spans="2:3" ht="12.75" customHeight="1" x14ac:dyDescent="0.35"/>
    <row r="783" spans="2:3" ht="12.75" customHeight="1" x14ac:dyDescent="0.35"/>
    <row r="784" spans="2:3" ht="12.75" customHeight="1" x14ac:dyDescent="0.35"/>
    <row r="785" spans="2:3" ht="12.75" customHeight="1" x14ac:dyDescent="0.35"/>
    <row r="786" spans="2:3" ht="12.75" customHeight="1" x14ac:dyDescent="0.35"/>
    <row r="787" spans="2:3" ht="12.75" customHeight="1" x14ac:dyDescent="0.35"/>
    <row r="788" spans="2:3" ht="12.75" customHeight="1" x14ac:dyDescent="0.35"/>
    <row r="789" spans="2:3" ht="12.75" customHeight="1" x14ac:dyDescent="0.35"/>
    <row r="790" spans="2:3" ht="12.75" customHeight="1" x14ac:dyDescent="0.35"/>
    <row r="791" spans="2:3" ht="12.75" customHeight="1" x14ac:dyDescent="0.35"/>
    <row r="792" spans="2:3" ht="12.75" customHeight="1" x14ac:dyDescent="0.35"/>
    <row r="793" spans="2:3" ht="12.75" customHeight="1" x14ac:dyDescent="0.35"/>
    <row r="794" spans="2:3" ht="12.75" customHeight="1" x14ac:dyDescent="0.35">
      <c r="B794" s="97" t="s">
        <v>3873</v>
      </c>
    </row>
    <row r="795" spans="2:3" ht="12.75" customHeight="1" x14ac:dyDescent="0.35">
      <c r="B795" s="97" t="s">
        <v>3874</v>
      </c>
    </row>
    <row r="796" spans="2:3" ht="12.75" customHeight="1" x14ac:dyDescent="0.35">
      <c r="B796" s="97" t="s">
        <v>3875</v>
      </c>
    </row>
    <row r="797" spans="2:3" ht="12.75" customHeight="1" x14ac:dyDescent="0.35"/>
    <row r="798" spans="2:3" ht="12.75" customHeight="1" x14ac:dyDescent="0.35">
      <c r="B798" s="97" t="s">
        <v>3876</v>
      </c>
    </row>
    <row r="799" spans="2:3" ht="12.75" customHeight="1" x14ac:dyDescent="0.35">
      <c r="B799" s="97" t="s">
        <v>3877</v>
      </c>
    </row>
    <row r="800" spans="2:3" ht="12.75" customHeight="1" x14ac:dyDescent="0.35">
      <c r="C800" s="97" t="s">
        <v>3702</v>
      </c>
    </row>
    <row r="801" spans="1:3" ht="12.75" customHeight="1" x14ac:dyDescent="0.35">
      <c r="C801" s="97" t="s">
        <v>3703</v>
      </c>
    </row>
    <row r="802" spans="1:3" ht="12.75" customHeight="1" x14ac:dyDescent="0.35">
      <c r="C802" s="97" t="s">
        <v>3704</v>
      </c>
    </row>
    <row r="803" spans="1:3" ht="12.75" customHeight="1" x14ac:dyDescent="0.35">
      <c r="C803" s="97" t="s">
        <v>3705</v>
      </c>
    </row>
    <row r="804" spans="1:3" ht="12.75" customHeight="1" x14ac:dyDescent="0.35">
      <c r="C804" s="97" t="s">
        <v>3706</v>
      </c>
    </row>
    <row r="805" spans="1:3" ht="12.75" customHeight="1" x14ac:dyDescent="0.35">
      <c r="C805" s="97" t="s">
        <v>3878</v>
      </c>
    </row>
    <row r="806" spans="1:3" ht="12.75" customHeight="1" x14ac:dyDescent="0.35">
      <c r="B806" s="97" t="s">
        <v>3879</v>
      </c>
    </row>
    <row r="807" spans="1:3" ht="12.75" customHeight="1" x14ac:dyDescent="0.35">
      <c r="A807" s="101"/>
      <c r="B807" s="97" t="s">
        <v>3880</v>
      </c>
    </row>
    <row r="808" spans="1:3" ht="12.75" customHeight="1" x14ac:dyDescent="0.35">
      <c r="B808" s="97" t="s">
        <v>3752</v>
      </c>
    </row>
    <row r="809" spans="1:3" ht="12.75" customHeight="1" x14ac:dyDescent="0.35">
      <c r="B809" s="97" t="s">
        <v>3881</v>
      </c>
    </row>
    <row r="810" spans="1:3" ht="12.75" customHeight="1" x14ac:dyDescent="0.35">
      <c r="C810" s="97" t="s">
        <v>3882</v>
      </c>
    </row>
    <row r="811" spans="1:3" ht="12.75" customHeight="1" x14ac:dyDescent="0.35">
      <c r="C811" s="97" t="s">
        <v>3722</v>
      </c>
    </row>
    <row r="812" spans="1:3" ht="12.75" customHeight="1" x14ac:dyDescent="0.35">
      <c r="C812" s="1277" t="s">
        <v>5682</v>
      </c>
    </row>
    <row r="813" spans="1:3" ht="12.75" customHeight="1" x14ac:dyDescent="0.35">
      <c r="C813" s="97" t="s">
        <v>3883</v>
      </c>
    </row>
    <row r="814" spans="1:3" ht="12.75" customHeight="1" x14ac:dyDescent="0.35">
      <c r="B814" s="101"/>
      <c r="C814" s="97" t="s">
        <v>3884</v>
      </c>
    </row>
    <row r="815" spans="1:3" ht="12.75" customHeight="1" x14ac:dyDescent="0.35">
      <c r="C815" s="97" t="s">
        <v>3680</v>
      </c>
    </row>
    <row r="816" spans="1:3" ht="12.75" customHeight="1" x14ac:dyDescent="0.35">
      <c r="C816" s="97" t="s">
        <v>3885</v>
      </c>
    </row>
    <row r="817" spans="2:3" ht="12.75" customHeight="1" x14ac:dyDescent="0.35">
      <c r="C817" s="97" t="s">
        <v>3886</v>
      </c>
    </row>
    <row r="818" spans="2:3" ht="12.75" customHeight="1" x14ac:dyDescent="0.35">
      <c r="C818" s="97" t="s">
        <v>3887</v>
      </c>
    </row>
    <row r="819" spans="2:3" ht="12.75" customHeight="1" x14ac:dyDescent="0.35">
      <c r="C819" s="97" t="s">
        <v>3888</v>
      </c>
    </row>
    <row r="820" spans="2:3" ht="12.75" customHeight="1" x14ac:dyDescent="0.35">
      <c r="C820" s="97" t="s">
        <v>3889</v>
      </c>
    </row>
    <row r="821" spans="2:3" ht="12.75" customHeight="1" x14ac:dyDescent="0.35">
      <c r="C821" s="97" t="s">
        <v>3791</v>
      </c>
    </row>
    <row r="822" spans="2:3" ht="12.75" customHeight="1" x14ac:dyDescent="0.35">
      <c r="C822" s="1277" t="s">
        <v>5679</v>
      </c>
    </row>
    <row r="823" spans="2:3" ht="12.75" customHeight="1" x14ac:dyDescent="0.35">
      <c r="C823" s="97" t="s">
        <v>3890</v>
      </c>
    </row>
    <row r="824" spans="2:3" ht="12.75" customHeight="1" x14ac:dyDescent="0.35">
      <c r="C824" s="1277" t="s">
        <v>5683</v>
      </c>
    </row>
    <row r="825" spans="2:3" ht="12.75" customHeight="1" x14ac:dyDescent="0.35">
      <c r="C825" s="97" t="s">
        <v>3891</v>
      </c>
    </row>
    <row r="826" spans="2:3" ht="12.75" customHeight="1" x14ac:dyDescent="0.35">
      <c r="C826" s="97" t="s">
        <v>3892</v>
      </c>
    </row>
    <row r="827" spans="2:3" ht="12.75" customHeight="1" x14ac:dyDescent="0.35">
      <c r="C827" s="97" t="s">
        <v>3893</v>
      </c>
    </row>
    <row r="828" spans="2:3" ht="12.75" customHeight="1" x14ac:dyDescent="0.35">
      <c r="B828" s="97" t="s">
        <v>3876</v>
      </c>
    </row>
    <row r="829" spans="2:3" ht="12.75" customHeight="1" x14ac:dyDescent="0.35">
      <c r="B829" s="97" t="s">
        <v>3894</v>
      </c>
    </row>
    <row r="830" spans="2:3" ht="12.75" customHeight="1" x14ac:dyDescent="0.35">
      <c r="B830" s="97" t="s">
        <v>3719</v>
      </c>
    </row>
    <row r="831" spans="2:3" ht="12.75" customHeight="1" x14ac:dyDescent="0.35">
      <c r="B831" s="97" t="s">
        <v>3766</v>
      </c>
    </row>
    <row r="832" spans="2:3" ht="12.75" customHeight="1" x14ac:dyDescent="0.35">
      <c r="B832" s="97" t="s">
        <v>3884</v>
      </c>
    </row>
    <row r="833" spans="2:2" ht="12.75" customHeight="1" x14ac:dyDescent="0.35">
      <c r="B833" s="97" t="s">
        <v>3722</v>
      </c>
    </row>
    <row r="834" spans="2:2" ht="12.75" customHeight="1" x14ac:dyDescent="0.35">
      <c r="B834" s="97" t="s">
        <v>3886</v>
      </c>
    </row>
    <row r="835" spans="2:2" ht="12.75" customHeight="1" x14ac:dyDescent="0.35">
      <c r="B835" s="97" t="s">
        <v>3895</v>
      </c>
    </row>
    <row r="836" spans="2:2" ht="12.75" customHeight="1" x14ac:dyDescent="0.35">
      <c r="B836" s="97" t="s">
        <v>3896</v>
      </c>
    </row>
    <row r="837" spans="2:2" ht="12.75" customHeight="1" x14ac:dyDescent="0.35"/>
    <row r="838" spans="2:2" ht="12.75" customHeight="1" x14ac:dyDescent="0.35">
      <c r="B838" s="97" t="s">
        <v>3897</v>
      </c>
    </row>
    <row r="839" spans="2:2" ht="12.75" customHeight="1" x14ac:dyDescent="0.35">
      <c r="B839" s="97" t="s">
        <v>3898</v>
      </c>
    </row>
    <row r="840" spans="2:2" ht="12.75" customHeight="1" x14ac:dyDescent="0.35">
      <c r="B840" s="97" t="s">
        <v>3811</v>
      </c>
    </row>
    <row r="841" spans="2:2" ht="12.75" customHeight="1" x14ac:dyDescent="0.35">
      <c r="B841" s="97" t="s">
        <v>3899</v>
      </c>
    </row>
    <row r="842" spans="2:2" ht="12.75" customHeight="1" x14ac:dyDescent="0.35"/>
    <row r="843" spans="2:2" ht="12.75" customHeight="1" x14ac:dyDescent="0.35"/>
    <row r="844" spans="2:2" ht="12.75" customHeight="1" x14ac:dyDescent="0.35"/>
    <row r="845" spans="2:2" ht="12.75" customHeight="1" x14ac:dyDescent="0.35">
      <c r="B845" s="97" t="s">
        <v>3900</v>
      </c>
    </row>
    <row r="846" spans="2:2" ht="12.75" customHeight="1" x14ac:dyDescent="0.35"/>
    <row r="847" spans="2:2" ht="12.75" customHeight="1" x14ac:dyDescent="0.35">
      <c r="B847" s="97" t="s">
        <v>3681</v>
      </c>
    </row>
  </sheetData>
  <printOptions gridLines="1"/>
  <pageMargins left="0.35433070866141736" right="0.35433070866141736" top="0.78740157480314965" bottom="0.78740157480314965" header="0.51181102362204722" footer="0.51181102362204722"/>
  <pageSetup paperSize="9" fitToWidth="2" fitToHeight="8" orientation="portrait" r:id="rId1"/>
  <headerFooter>
    <oddHeader>&amp;C&amp;A</oddHeader>
    <oddFooter>&amp;CPage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pageSetUpPr autoPageBreaks="0"/>
  </sheetPr>
  <dimension ref="A1:D847"/>
  <sheetViews>
    <sheetView topLeftCell="A400" workbookViewId="0">
      <selection activeCell="C443" sqref="C443"/>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1:4" ht="12.75" customHeight="1" x14ac:dyDescent="0.35">
      <c r="A1" s="1279"/>
      <c r="B1" s="1279" t="s">
        <v>3901</v>
      </c>
      <c r="C1" s="1279"/>
      <c r="D1" s="1279"/>
    </row>
    <row r="2" spans="1:4" ht="12.75" customHeight="1" x14ac:dyDescent="0.35">
      <c r="A2" s="1279"/>
      <c r="B2" s="1279" t="s">
        <v>3902</v>
      </c>
      <c r="C2" s="1279"/>
      <c r="D2" s="1279"/>
    </row>
    <row r="3" spans="1:4" ht="12.75" customHeight="1" x14ac:dyDescent="0.35">
      <c r="A3" s="1279"/>
      <c r="B3" s="1279" t="s">
        <v>3903</v>
      </c>
      <c r="C3" s="1279"/>
      <c r="D3" s="1279"/>
    </row>
    <row r="4" spans="1:4" ht="12.75" customHeight="1" x14ac:dyDescent="0.35">
      <c r="A4" s="1279"/>
      <c r="B4" s="1279" t="s">
        <v>3904</v>
      </c>
      <c r="C4" s="1279"/>
      <c r="D4" s="1279"/>
    </row>
    <row r="5" spans="1:4" ht="12.75" customHeight="1" x14ac:dyDescent="0.35">
      <c r="A5" s="1279"/>
      <c r="B5" s="1279" t="s">
        <v>3905</v>
      </c>
      <c r="C5" s="1279"/>
      <c r="D5" s="1279"/>
    </row>
    <row r="6" spans="1:4" ht="12.75" customHeight="1" x14ac:dyDescent="0.35">
      <c r="A6" s="1279"/>
      <c r="B6" s="1279" t="s">
        <v>3906</v>
      </c>
      <c r="C6" s="1279"/>
      <c r="D6" s="1279"/>
    </row>
    <row r="7" spans="1:4" ht="12.75" customHeight="1" x14ac:dyDescent="0.35">
      <c r="A7" s="1279"/>
      <c r="B7" s="1279"/>
      <c r="C7" s="1279"/>
      <c r="D7" s="1279"/>
    </row>
    <row r="8" spans="1:4" ht="12.75" customHeight="1" x14ac:dyDescent="0.35">
      <c r="A8" s="1279"/>
      <c r="B8" s="1279"/>
      <c r="C8" s="1279"/>
      <c r="D8" s="1279"/>
    </row>
    <row r="9" spans="1:4" ht="12.75" customHeight="1" x14ac:dyDescent="0.35">
      <c r="A9" s="1279"/>
      <c r="B9" s="1279"/>
      <c r="C9" s="1279"/>
      <c r="D9" s="1279"/>
    </row>
    <row r="10" spans="1:4" ht="12.75" customHeight="1" x14ac:dyDescent="0.35">
      <c r="A10" s="1279"/>
      <c r="B10" s="1279"/>
      <c r="C10" s="1279"/>
      <c r="D10" s="1279"/>
    </row>
    <row r="11" spans="1:4" ht="12.75" customHeight="1" x14ac:dyDescent="0.35">
      <c r="A11" s="1279"/>
      <c r="B11" s="1279" t="s">
        <v>3907</v>
      </c>
      <c r="C11" s="1279"/>
      <c r="D11" s="1279"/>
    </row>
    <row r="12" spans="1:4" ht="12.75" customHeight="1" x14ac:dyDescent="0.35">
      <c r="A12" s="1279"/>
      <c r="B12" s="1279" t="s">
        <v>3908</v>
      </c>
      <c r="C12" s="1279"/>
      <c r="D12" s="1279"/>
    </row>
    <row r="13" spans="1:4" ht="12.75" customHeight="1" x14ac:dyDescent="0.35">
      <c r="A13" s="1279"/>
      <c r="B13" s="1279" t="s">
        <v>3909</v>
      </c>
      <c r="C13" s="1279"/>
      <c r="D13" s="1279"/>
    </row>
    <row r="14" spans="1:4" ht="12.75" customHeight="1" x14ac:dyDescent="0.35">
      <c r="A14" s="1279"/>
      <c r="B14" s="1279"/>
      <c r="C14" s="1279"/>
      <c r="D14" s="1279"/>
    </row>
    <row r="15" spans="1:4" ht="12.75" customHeight="1" x14ac:dyDescent="0.35">
      <c r="A15" s="1279"/>
      <c r="B15" s="1279" t="s">
        <v>3910</v>
      </c>
      <c r="C15" s="1279"/>
      <c r="D15" s="1279"/>
    </row>
    <row r="16" spans="1:4" ht="12.75" customHeight="1" x14ac:dyDescent="0.35">
      <c r="A16" s="1279"/>
      <c r="B16" s="1279"/>
      <c r="C16" s="1279"/>
      <c r="D16" s="1279"/>
    </row>
    <row r="17" spans="1:4" ht="12.75" customHeight="1" x14ac:dyDescent="0.35">
      <c r="A17" s="1279"/>
      <c r="B17" s="1279" t="s">
        <v>3908</v>
      </c>
      <c r="C17" s="1279"/>
      <c r="D17" s="1279" t="s">
        <v>3912</v>
      </c>
    </row>
    <row r="18" spans="1:4" ht="12.75" customHeight="1" x14ac:dyDescent="0.35">
      <c r="A18" s="1279"/>
      <c r="B18" s="1279"/>
      <c r="C18" s="1279"/>
      <c r="D18" s="1279"/>
    </row>
    <row r="19" spans="1:4" ht="12.75" customHeight="1" x14ac:dyDescent="0.35">
      <c r="A19" s="1279"/>
      <c r="B19" s="1279"/>
      <c r="C19" s="1389" t="s">
        <v>6361</v>
      </c>
      <c r="D19" s="1279"/>
    </row>
    <row r="20" spans="1:4" ht="12.75" customHeight="1" x14ac:dyDescent="0.35">
      <c r="A20" s="1279"/>
      <c r="B20" s="1279" t="s">
        <v>6250</v>
      </c>
      <c r="C20" s="1279"/>
      <c r="D20" s="1279"/>
    </row>
    <row r="21" spans="1:4" ht="12.75" customHeight="1" x14ac:dyDescent="0.35">
      <c r="A21" s="1279"/>
      <c r="B21" s="1279"/>
      <c r="C21" s="1279" t="s">
        <v>3914</v>
      </c>
      <c r="D21" s="1279"/>
    </row>
    <row r="22" spans="1:4" ht="12.75" customHeight="1" x14ac:dyDescent="0.35">
      <c r="A22" s="1279"/>
      <c r="B22" s="1279"/>
      <c r="C22" s="1279"/>
      <c r="D22" s="1279"/>
    </row>
    <row r="23" spans="1:4" ht="12.75" customHeight="1" x14ac:dyDescent="0.35">
      <c r="A23" s="1279"/>
      <c r="B23" s="1279"/>
      <c r="C23" s="1279"/>
      <c r="D23" s="1279"/>
    </row>
    <row r="24" spans="1:4" ht="12.75" customHeight="1" x14ac:dyDescent="0.35">
      <c r="A24" s="1279"/>
      <c r="B24" s="1279" t="s">
        <v>3913</v>
      </c>
      <c r="C24" s="1279"/>
      <c r="D24" s="1279"/>
    </row>
    <row r="25" spans="1:4" ht="12.75" customHeight="1" x14ac:dyDescent="0.35">
      <c r="A25" s="1279"/>
      <c r="B25" s="1279"/>
      <c r="C25" s="1279" t="s">
        <v>3915</v>
      </c>
      <c r="D25" s="1279"/>
    </row>
    <row r="26" spans="1:4" ht="12.75" customHeight="1" x14ac:dyDescent="0.35">
      <c r="A26" s="1279"/>
      <c r="B26" s="1279"/>
      <c r="C26" s="1279"/>
      <c r="D26" s="1279"/>
    </row>
    <row r="27" spans="1:4" ht="12.75" customHeight="1" x14ac:dyDescent="0.35">
      <c r="A27" s="1279"/>
      <c r="B27" s="1279"/>
      <c r="C27" s="1279"/>
      <c r="D27" s="1279"/>
    </row>
    <row r="28" spans="1:4" ht="12.75" customHeight="1" x14ac:dyDescent="0.35">
      <c r="A28" s="1279"/>
      <c r="B28" s="1279"/>
      <c r="C28" s="1279"/>
      <c r="D28" s="1279"/>
    </row>
    <row r="29" spans="1:4" ht="12.75" customHeight="1" x14ac:dyDescent="0.35">
      <c r="A29" s="1279"/>
      <c r="B29" s="1279"/>
      <c r="C29" s="1389" t="s">
        <v>6362</v>
      </c>
      <c r="D29" s="1279"/>
    </row>
    <row r="30" spans="1:4" ht="12.75" customHeight="1" x14ac:dyDescent="0.35">
      <c r="A30" s="1279"/>
      <c r="B30" s="1279" t="s">
        <v>3459</v>
      </c>
      <c r="C30" s="1279"/>
      <c r="D30" s="1279"/>
    </row>
    <row r="31" spans="1:4" ht="12.75" customHeight="1" x14ac:dyDescent="0.35">
      <c r="A31" s="1279"/>
      <c r="B31" s="1279"/>
      <c r="C31" s="1279" t="s">
        <v>3914</v>
      </c>
      <c r="D31" s="1279"/>
    </row>
    <row r="32" spans="1:4" ht="12.75" customHeight="1" x14ac:dyDescent="0.35">
      <c r="A32" s="1279"/>
      <c r="B32" s="1279"/>
      <c r="C32" s="1279"/>
      <c r="D32" s="1279"/>
    </row>
    <row r="33" spans="1:4" ht="12.75" customHeight="1" x14ac:dyDescent="0.35">
      <c r="A33" s="1279"/>
      <c r="B33" s="1279"/>
      <c r="C33" s="1279"/>
      <c r="D33" s="1279"/>
    </row>
    <row r="34" spans="1:4" ht="12.75" customHeight="1" x14ac:dyDescent="0.35">
      <c r="A34" s="1279"/>
      <c r="B34" s="1279" t="s">
        <v>3913</v>
      </c>
      <c r="C34" s="1279"/>
      <c r="D34" s="1279"/>
    </row>
    <row r="35" spans="1:4" ht="12.75" customHeight="1" x14ac:dyDescent="0.35">
      <c r="A35" s="1279"/>
      <c r="B35" s="1279"/>
      <c r="C35" s="1279" t="s">
        <v>3915</v>
      </c>
      <c r="D35" s="1279"/>
    </row>
    <row r="36" spans="1:4" ht="12.75" customHeight="1" x14ac:dyDescent="0.35">
      <c r="A36" s="1279"/>
      <c r="B36" s="1279"/>
      <c r="C36" s="1279"/>
      <c r="D36" s="1279"/>
    </row>
    <row r="37" spans="1:4" ht="12.75" customHeight="1" x14ac:dyDescent="0.35">
      <c r="A37" s="1279"/>
      <c r="B37" s="1279"/>
      <c r="C37" s="1279"/>
      <c r="D37" s="1279"/>
    </row>
    <row r="38" spans="1:4" ht="12.75" customHeight="1" x14ac:dyDescent="0.35">
      <c r="A38" s="1279"/>
      <c r="B38" s="1279"/>
      <c r="C38" s="1279"/>
      <c r="D38" s="1279"/>
    </row>
    <row r="39" spans="1:4" ht="12.75" customHeight="1" x14ac:dyDescent="0.35">
      <c r="A39" s="1279"/>
      <c r="B39" s="1279"/>
      <c r="C39" s="1389" t="s">
        <v>6363</v>
      </c>
      <c r="D39" s="1279"/>
    </row>
    <row r="40" spans="1:4" ht="12.75" customHeight="1" x14ac:dyDescent="0.35">
      <c r="A40" s="1279"/>
      <c r="B40" s="1279" t="s">
        <v>3459</v>
      </c>
      <c r="C40" s="1279"/>
      <c r="D40" s="1279"/>
    </row>
    <row r="41" spans="1:4" ht="12.75" customHeight="1" x14ac:dyDescent="0.35">
      <c r="A41" s="1279"/>
      <c r="B41" s="1279"/>
      <c r="C41" s="1279" t="s">
        <v>3914</v>
      </c>
      <c r="D41" s="1279"/>
    </row>
    <row r="42" spans="1:4" ht="12.75" customHeight="1" x14ac:dyDescent="0.35">
      <c r="A42" s="1279"/>
      <c r="B42" s="1279"/>
      <c r="C42" s="1279"/>
      <c r="D42" s="1279"/>
    </row>
    <row r="43" spans="1:4" ht="12.75" customHeight="1" x14ac:dyDescent="0.35">
      <c r="A43" s="1279"/>
      <c r="B43" s="1279"/>
      <c r="C43" s="1279"/>
      <c r="D43" s="1279"/>
    </row>
    <row r="44" spans="1:4" ht="12.75" customHeight="1" x14ac:dyDescent="0.35">
      <c r="A44" s="1279"/>
      <c r="B44" s="1279" t="s">
        <v>3913</v>
      </c>
      <c r="C44" s="1279"/>
      <c r="D44" s="1279"/>
    </row>
    <row r="45" spans="1:4" ht="12.75" customHeight="1" x14ac:dyDescent="0.35">
      <c r="A45" s="1279"/>
      <c r="B45" s="1279"/>
      <c r="C45" s="1279" t="s">
        <v>3915</v>
      </c>
      <c r="D45" s="1279"/>
    </row>
    <row r="46" spans="1:4" ht="12.75" customHeight="1" x14ac:dyDescent="0.35">
      <c r="A46" s="1279"/>
      <c r="B46" s="1279"/>
      <c r="C46" s="1279"/>
      <c r="D46" s="1279"/>
    </row>
    <row r="47" spans="1:4" ht="12.75" customHeight="1" x14ac:dyDescent="0.35">
      <c r="A47" s="1279"/>
      <c r="B47" s="1279"/>
      <c r="C47" s="1279"/>
      <c r="D47" s="1279"/>
    </row>
    <row r="48" spans="1:4" ht="12.75" customHeight="1" x14ac:dyDescent="0.35">
      <c r="A48" s="1279"/>
      <c r="B48" s="1279"/>
      <c r="C48" s="1279"/>
      <c r="D48" s="1279"/>
    </row>
    <row r="49" spans="1:4" ht="12.75" customHeight="1" x14ac:dyDescent="0.35">
      <c r="A49" s="1279"/>
      <c r="B49" s="1279"/>
      <c r="C49" s="1279"/>
      <c r="D49" s="1279"/>
    </row>
    <row r="50" spans="1:4" ht="12.75" customHeight="1" x14ac:dyDescent="0.35">
      <c r="A50" s="1279"/>
      <c r="B50" s="1279" t="s">
        <v>3913</v>
      </c>
      <c r="C50" s="1279"/>
      <c r="D50" s="1279"/>
    </row>
    <row r="51" spans="1:4" ht="12.75" customHeight="1" x14ac:dyDescent="0.35">
      <c r="A51" s="1279"/>
      <c r="B51" s="1279"/>
      <c r="C51" s="1279" t="s">
        <v>3914</v>
      </c>
      <c r="D51" s="1279"/>
    </row>
    <row r="52" spans="1:4" ht="12.75" customHeight="1" x14ac:dyDescent="0.35">
      <c r="A52" s="1279"/>
      <c r="B52" s="1279"/>
      <c r="C52" s="1279"/>
      <c r="D52" s="1279"/>
    </row>
    <row r="53" spans="1:4" ht="12.75" customHeight="1" x14ac:dyDescent="0.35">
      <c r="A53" s="1279"/>
      <c r="B53" s="1279"/>
      <c r="C53" s="1279"/>
      <c r="D53" s="1279"/>
    </row>
    <row r="54" spans="1:4" ht="12.75" customHeight="1" x14ac:dyDescent="0.35">
      <c r="A54" s="1279"/>
      <c r="B54" s="1279" t="s">
        <v>3913</v>
      </c>
      <c r="C54" s="1279"/>
      <c r="D54" s="1279"/>
    </row>
    <row r="55" spans="1:4" ht="12.75" customHeight="1" x14ac:dyDescent="0.35">
      <c r="A55" s="1279"/>
      <c r="B55" s="1279"/>
      <c r="C55" s="1279" t="s">
        <v>3915</v>
      </c>
      <c r="D55" s="1279"/>
    </row>
    <row r="56" spans="1:4" ht="12.75" customHeight="1" x14ac:dyDescent="0.35">
      <c r="A56" s="1279"/>
      <c r="B56" s="1279"/>
      <c r="C56" s="1279"/>
      <c r="D56" s="1279"/>
    </row>
    <row r="57" spans="1:4" ht="12.75" customHeight="1" x14ac:dyDescent="0.35">
      <c r="A57" s="1279"/>
      <c r="B57" s="1279"/>
      <c r="C57" s="1279"/>
      <c r="D57" s="1279"/>
    </row>
    <row r="58" spans="1:4" ht="12.75" customHeight="1" x14ac:dyDescent="0.35">
      <c r="A58" s="1279"/>
      <c r="B58" s="1279"/>
      <c r="C58" s="1279"/>
      <c r="D58" s="1279"/>
    </row>
    <row r="59" spans="1:4" ht="12.75" customHeight="1" x14ac:dyDescent="0.35">
      <c r="A59" s="1279"/>
      <c r="B59" s="1279"/>
      <c r="C59" s="1279"/>
      <c r="D59" s="1279"/>
    </row>
    <row r="60" spans="1:4" ht="12.75" customHeight="1" x14ac:dyDescent="0.35">
      <c r="A60" s="1279"/>
      <c r="B60" s="1279" t="s">
        <v>3913</v>
      </c>
      <c r="C60" s="1279"/>
      <c r="D60" s="1279"/>
    </row>
    <row r="61" spans="1:4" ht="12.75" customHeight="1" x14ac:dyDescent="0.35">
      <c r="A61" s="1279"/>
      <c r="B61" s="1279"/>
      <c r="C61" s="1279" t="s">
        <v>3914</v>
      </c>
      <c r="D61" s="1279"/>
    </row>
    <row r="62" spans="1:4" ht="12.75" customHeight="1" x14ac:dyDescent="0.35">
      <c r="A62" s="1279"/>
      <c r="B62" s="1279"/>
      <c r="C62" s="1279"/>
      <c r="D62" s="1279"/>
    </row>
    <row r="63" spans="1:4" ht="12.75" customHeight="1" x14ac:dyDescent="0.35">
      <c r="A63" s="1279"/>
      <c r="B63" s="1279"/>
      <c r="C63" s="1279"/>
      <c r="D63" s="1279"/>
    </row>
    <row r="64" spans="1:4" ht="12.75" customHeight="1" x14ac:dyDescent="0.35">
      <c r="A64" s="1279"/>
      <c r="B64" s="1279" t="s">
        <v>3913</v>
      </c>
      <c r="C64" s="1279"/>
      <c r="D64" s="1279"/>
    </row>
    <row r="65" spans="1:4" ht="12.75" customHeight="1" x14ac:dyDescent="0.35">
      <c r="A65" s="1279"/>
      <c r="B65" s="1279"/>
      <c r="C65" s="1279" t="s">
        <v>3915</v>
      </c>
      <c r="D65" s="1279"/>
    </row>
    <row r="66" spans="1:4" ht="12.75" customHeight="1" x14ac:dyDescent="0.35">
      <c r="A66" s="1279"/>
      <c r="B66" s="1279"/>
      <c r="C66" s="1279"/>
      <c r="D66" s="1279"/>
    </row>
    <row r="67" spans="1:4" ht="12.75" customHeight="1" x14ac:dyDescent="0.35">
      <c r="A67" s="1279"/>
      <c r="B67" s="1279"/>
      <c r="C67" s="1279"/>
      <c r="D67" s="1279"/>
    </row>
    <row r="68" spans="1:4" ht="12.75" customHeight="1" x14ac:dyDescent="0.35">
      <c r="A68" s="1279"/>
      <c r="B68" s="1279"/>
      <c r="C68" s="1279"/>
      <c r="D68" s="1279"/>
    </row>
    <row r="69" spans="1:4" ht="12.75" customHeight="1" x14ac:dyDescent="0.35">
      <c r="A69" s="1279"/>
      <c r="B69" s="1279"/>
      <c r="C69" s="1279"/>
      <c r="D69" s="1279"/>
    </row>
    <row r="70" spans="1:4" ht="12.75" customHeight="1" x14ac:dyDescent="0.35">
      <c r="A70" s="1279"/>
      <c r="B70" s="1279" t="s">
        <v>3913</v>
      </c>
      <c r="C70" s="1279"/>
      <c r="D70" s="1279"/>
    </row>
    <row r="71" spans="1:4" ht="12.75" customHeight="1" x14ac:dyDescent="0.35">
      <c r="A71" s="1279"/>
      <c r="B71" s="1279"/>
      <c r="C71" s="1279" t="s">
        <v>3914</v>
      </c>
      <c r="D71" s="1279"/>
    </row>
    <row r="72" spans="1:4" ht="12.75" customHeight="1" x14ac:dyDescent="0.35">
      <c r="A72" s="1279"/>
      <c r="B72" s="1279"/>
      <c r="C72" s="1279"/>
      <c r="D72" s="1279"/>
    </row>
    <row r="73" spans="1:4" ht="12.75" customHeight="1" x14ac:dyDescent="0.35">
      <c r="A73" s="1279"/>
      <c r="B73" s="1279"/>
      <c r="C73" s="1279"/>
      <c r="D73" s="1279"/>
    </row>
    <row r="74" spans="1:4" ht="12.75" customHeight="1" x14ac:dyDescent="0.35">
      <c r="A74" s="1279"/>
      <c r="B74" s="1279" t="s">
        <v>3913</v>
      </c>
      <c r="C74" s="1279"/>
      <c r="D74" s="1279"/>
    </row>
    <row r="75" spans="1:4" ht="12.75" customHeight="1" x14ac:dyDescent="0.35">
      <c r="A75" s="1279"/>
      <c r="B75" s="1279"/>
      <c r="C75" s="1279" t="s">
        <v>3915</v>
      </c>
      <c r="D75" s="1279"/>
    </row>
    <row r="76" spans="1:4" ht="12.75" customHeight="1" x14ac:dyDescent="0.35">
      <c r="A76" s="1279"/>
      <c r="B76" s="1279"/>
      <c r="C76" s="1279"/>
      <c r="D76" s="1279"/>
    </row>
    <row r="77" spans="1:4" ht="12.75" customHeight="1" x14ac:dyDescent="0.35">
      <c r="A77" s="1279"/>
      <c r="B77" s="1279"/>
      <c r="C77" s="1279"/>
      <c r="D77" s="1279"/>
    </row>
    <row r="78" spans="1:4" ht="12.75" customHeight="1" x14ac:dyDescent="0.35">
      <c r="A78" s="1279"/>
      <c r="B78" s="1279"/>
      <c r="C78" s="1279"/>
      <c r="D78" s="1279"/>
    </row>
    <row r="79" spans="1:4" ht="12.75" customHeight="1" x14ac:dyDescent="0.35">
      <c r="A79" s="1279"/>
      <c r="B79" s="1279"/>
      <c r="C79" s="1279"/>
      <c r="D79" s="1279"/>
    </row>
    <row r="80" spans="1:4" ht="12.75" customHeight="1" x14ac:dyDescent="0.35">
      <c r="A80" s="1279"/>
      <c r="B80" s="1279" t="s">
        <v>3913</v>
      </c>
      <c r="C80" s="1279"/>
      <c r="D80" s="1279"/>
    </row>
    <row r="81" spans="1:4" ht="12.75" customHeight="1" x14ac:dyDescent="0.35">
      <c r="A81" s="1279"/>
      <c r="B81" s="1279"/>
      <c r="C81" s="1279" t="s">
        <v>3914</v>
      </c>
      <c r="D81" s="1279"/>
    </row>
    <row r="82" spans="1:4" ht="12.75" customHeight="1" x14ac:dyDescent="0.35">
      <c r="A82" s="1279"/>
      <c r="B82" s="1279"/>
      <c r="C82" s="1279"/>
      <c r="D82" s="1279"/>
    </row>
    <row r="83" spans="1:4" ht="12.75" customHeight="1" x14ac:dyDescent="0.35">
      <c r="A83" s="1279"/>
      <c r="B83" s="1279"/>
      <c r="C83" s="1279"/>
      <c r="D83" s="1279"/>
    </row>
    <row r="84" spans="1:4" ht="12.75" customHeight="1" x14ac:dyDescent="0.35">
      <c r="A84" s="1279"/>
      <c r="B84" s="1279" t="s">
        <v>3913</v>
      </c>
      <c r="C84" s="1279"/>
      <c r="D84" s="1279"/>
    </row>
    <row r="85" spans="1:4" ht="12.75" customHeight="1" x14ac:dyDescent="0.35">
      <c r="A85" s="1279"/>
      <c r="B85" s="1279"/>
      <c r="C85" s="1279" t="s">
        <v>3915</v>
      </c>
      <c r="D85" s="1279"/>
    </row>
    <row r="86" spans="1:4" ht="12.75" customHeight="1" x14ac:dyDescent="0.35">
      <c r="A86" s="1279"/>
      <c r="B86" s="1279"/>
      <c r="C86" s="1279"/>
      <c r="D86" s="1279"/>
    </row>
    <row r="87" spans="1:4" ht="12.75" customHeight="1" x14ac:dyDescent="0.35">
      <c r="A87" s="1279"/>
      <c r="B87" s="1279"/>
      <c r="C87" s="1279"/>
      <c r="D87" s="1279"/>
    </row>
    <row r="88" spans="1:4" ht="12.75" customHeight="1" x14ac:dyDescent="0.35">
      <c r="A88" s="1279"/>
      <c r="B88" s="1279"/>
      <c r="C88" s="1279"/>
      <c r="D88" s="1279"/>
    </row>
    <row r="89" spans="1:4" ht="12.75" customHeight="1" x14ac:dyDescent="0.35">
      <c r="A89" s="1279"/>
      <c r="B89" s="1279"/>
      <c r="C89" s="1279"/>
      <c r="D89" s="1279"/>
    </row>
    <row r="90" spans="1:4" ht="12.75" customHeight="1" x14ac:dyDescent="0.35">
      <c r="A90" s="1279"/>
      <c r="B90" s="1279" t="s">
        <v>3913</v>
      </c>
      <c r="C90" s="1279"/>
      <c r="D90" s="1279"/>
    </row>
    <row r="91" spans="1:4" ht="12.75" customHeight="1" x14ac:dyDescent="0.35">
      <c r="A91" s="1279"/>
      <c r="B91" s="1279"/>
      <c r="C91" s="1279" t="s">
        <v>3914</v>
      </c>
      <c r="D91" s="1279"/>
    </row>
    <row r="92" spans="1:4" ht="12.75" customHeight="1" x14ac:dyDescent="0.35">
      <c r="A92" s="1279"/>
      <c r="B92" s="1279"/>
      <c r="C92" s="1279"/>
      <c r="D92" s="1279"/>
    </row>
    <row r="93" spans="1:4" ht="12.75" customHeight="1" x14ac:dyDescent="0.35">
      <c r="A93" s="1279"/>
      <c r="B93" s="1279"/>
      <c r="C93" s="1279"/>
      <c r="D93" s="1279"/>
    </row>
    <row r="94" spans="1:4" ht="12.75" customHeight="1" x14ac:dyDescent="0.35">
      <c r="A94" s="1279"/>
      <c r="B94" s="1279" t="s">
        <v>3913</v>
      </c>
      <c r="C94" s="1279"/>
      <c r="D94" s="1279"/>
    </row>
    <row r="95" spans="1:4" ht="12.75" customHeight="1" x14ac:dyDescent="0.35">
      <c r="A95" s="1279"/>
      <c r="B95" s="1279"/>
      <c r="C95" s="1279" t="s">
        <v>3915</v>
      </c>
      <c r="D95" s="1279"/>
    </row>
    <row r="96" spans="1:4" ht="12.75" customHeight="1" x14ac:dyDescent="0.35">
      <c r="A96" s="1279"/>
      <c r="B96" s="1279"/>
      <c r="C96" s="1279"/>
      <c r="D96" s="1279"/>
    </row>
    <row r="97" spans="1:4" ht="12.75" customHeight="1" x14ac:dyDescent="0.35">
      <c r="A97" s="1279"/>
      <c r="B97" s="1279"/>
      <c r="C97" s="1279"/>
      <c r="D97" s="1279"/>
    </row>
    <row r="98" spans="1:4" ht="12.75" customHeight="1" x14ac:dyDescent="0.35">
      <c r="A98" s="1279"/>
      <c r="B98" s="1279"/>
      <c r="C98" s="1279"/>
      <c r="D98" s="1279"/>
    </row>
    <row r="99" spans="1:4" ht="12.75" customHeight="1" x14ac:dyDescent="0.35">
      <c r="A99" s="1279"/>
      <c r="B99" s="1279"/>
      <c r="C99" s="1279"/>
      <c r="D99" s="1279"/>
    </row>
    <row r="100" spans="1:4" ht="12.75" customHeight="1" x14ac:dyDescent="0.35">
      <c r="A100" s="1279"/>
      <c r="B100" s="1279" t="s">
        <v>3913</v>
      </c>
      <c r="C100" s="1279"/>
      <c r="D100" s="1279"/>
    </row>
    <row r="101" spans="1:4" ht="12.75" customHeight="1" x14ac:dyDescent="0.35">
      <c r="A101" s="1279"/>
      <c r="B101" s="1279"/>
      <c r="C101" s="1279" t="s">
        <v>3914</v>
      </c>
      <c r="D101" s="1279"/>
    </row>
    <row r="102" spans="1:4" ht="12.75" customHeight="1" x14ac:dyDescent="0.35">
      <c r="A102" s="1279"/>
      <c r="B102" s="1279"/>
      <c r="C102" s="1279"/>
      <c r="D102" s="1279"/>
    </row>
    <row r="103" spans="1:4" ht="12.75" customHeight="1" x14ac:dyDescent="0.35">
      <c r="A103" s="1279"/>
      <c r="B103" s="1279"/>
      <c r="C103" s="1279"/>
      <c r="D103" s="1279"/>
    </row>
    <row r="104" spans="1:4" ht="12.75" customHeight="1" x14ac:dyDescent="0.35">
      <c r="A104" s="1279"/>
      <c r="B104" s="1279" t="s">
        <v>3913</v>
      </c>
      <c r="C104" s="1279"/>
      <c r="D104" s="1279"/>
    </row>
    <row r="105" spans="1:4" ht="12.75" customHeight="1" x14ac:dyDescent="0.35">
      <c r="A105" s="1279"/>
      <c r="B105" s="1279"/>
      <c r="C105" s="1279" t="s">
        <v>3915</v>
      </c>
      <c r="D105" s="1279"/>
    </row>
    <row r="106" spans="1:4" ht="12.75" customHeight="1" x14ac:dyDescent="0.35">
      <c r="A106" s="1279"/>
      <c r="B106" s="1279"/>
      <c r="C106" s="1279"/>
      <c r="D106" s="1279"/>
    </row>
    <row r="107" spans="1:4" ht="12.75" customHeight="1" x14ac:dyDescent="0.35">
      <c r="A107" s="1279"/>
      <c r="B107" s="1279"/>
      <c r="C107" s="1279"/>
      <c r="D107" s="1279"/>
    </row>
    <row r="108" spans="1:4" ht="12.75" customHeight="1" x14ac:dyDescent="0.35">
      <c r="A108" s="1279"/>
      <c r="B108" s="1279"/>
      <c r="C108" s="1279"/>
      <c r="D108" s="1279"/>
    </row>
    <row r="109" spans="1:4" ht="12.75" customHeight="1" x14ac:dyDescent="0.35">
      <c r="A109" s="1279"/>
      <c r="B109" s="1279"/>
      <c r="C109" s="1279"/>
      <c r="D109" s="1279"/>
    </row>
    <row r="110" spans="1:4" ht="12.75" customHeight="1" x14ac:dyDescent="0.35">
      <c r="A110" s="1279"/>
      <c r="B110" s="1279" t="s">
        <v>3913</v>
      </c>
      <c r="C110" s="1279"/>
      <c r="D110" s="1279"/>
    </row>
    <row r="111" spans="1:4" ht="12.75" customHeight="1" x14ac:dyDescent="0.35">
      <c r="A111" s="1279"/>
      <c r="B111" s="1279"/>
      <c r="C111" s="1279" t="s">
        <v>3914</v>
      </c>
      <c r="D111" s="1279"/>
    </row>
    <row r="112" spans="1:4" ht="12.75" customHeight="1" x14ac:dyDescent="0.35">
      <c r="A112" s="1279"/>
      <c r="B112" s="1279"/>
      <c r="C112" s="1279"/>
      <c r="D112" s="1279"/>
    </row>
    <row r="113" spans="1:4" ht="12.75" customHeight="1" x14ac:dyDescent="0.35">
      <c r="A113" s="1279"/>
      <c r="B113" s="1279"/>
      <c r="C113" s="1279"/>
      <c r="D113" s="1279"/>
    </row>
    <row r="114" spans="1:4" ht="12.75" customHeight="1" x14ac:dyDescent="0.35">
      <c r="A114" s="1279"/>
      <c r="B114" s="1279" t="s">
        <v>3913</v>
      </c>
      <c r="C114" s="1279"/>
      <c r="D114" s="1279"/>
    </row>
    <row r="115" spans="1:4" ht="12.75" customHeight="1" x14ac:dyDescent="0.35">
      <c r="A115" s="1279"/>
      <c r="B115" s="1279"/>
      <c r="C115" s="1279" t="s">
        <v>3915</v>
      </c>
      <c r="D115" s="1279"/>
    </row>
    <row r="116" spans="1:4" ht="12.75" customHeight="1" x14ac:dyDescent="0.35">
      <c r="A116" s="1279"/>
      <c r="B116" s="1279"/>
      <c r="C116" s="1279"/>
      <c r="D116" s="1279"/>
    </row>
    <row r="117" spans="1:4" ht="12.75" customHeight="1" x14ac:dyDescent="0.35">
      <c r="A117" s="1279"/>
      <c r="B117" s="1279"/>
      <c r="C117" s="1279"/>
      <c r="D117" s="1279"/>
    </row>
    <row r="118" spans="1:4" ht="12.75" customHeight="1" x14ac:dyDescent="0.35">
      <c r="A118" s="1279"/>
      <c r="B118" s="1279"/>
      <c r="C118" s="1279"/>
      <c r="D118" s="1279"/>
    </row>
    <row r="119" spans="1:4" ht="12.75" customHeight="1" x14ac:dyDescent="0.35">
      <c r="A119" s="1279"/>
      <c r="B119" s="1279"/>
      <c r="C119" s="1279"/>
      <c r="D119" s="1279"/>
    </row>
    <row r="120" spans="1:4" ht="12.75" customHeight="1" x14ac:dyDescent="0.35">
      <c r="A120" s="1279"/>
      <c r="B120" s="1279" t="s">
        <v>3913</v>
      </c>
      <c r="C120" s="1279"/>
      <c r="D120" s="1279"/>
    </row>
    <row r="121" spans="1:4" ht="12.75" customHeight="1" x14ac:dyDescent="0.35">
      <c r="A121" s="1279"/>
      <c r="B121" s="1279"/>
      <c r="C121" s="1279" t="s">
        <v>3914</v>
      </c>
      <c r="D121" s="1279"/>
    </row>
    <row r="122" spans="1:4" ht="12.75" customHeight="1" x14ac:dyDescent="0.35">
      <c r="A122" s="1279"/>
      <c r="B122" s="1279"/>
      <c r="C122" s="1279"/>
      <c r="D122" s="1279"/>
    </row>
    <row r="123" spans="1:4" ht="12.75" customHeight="1" x14ac:dyDescent="0.35">
      <c r="A123" s="1279"/>
      <c r="B123" s="1279"/>
      <c r="C123" s="1279"/>
      <c r="D123" s="1279"/>
    </row>
    <row r="124" spans="1:4" ht="12.75" customHeight="1" x14ac:dyDescent="0.35">
      <c r="A124" s="1279"/>
      <c r="B124" s="1279" t="s">
        <v>3913</v>
      </c>
      <c r="C124" s="1279"/>
      <c r="D124" s="1279"/>
    </row>
    <row r="125" spans="1:4" ht="12.75" customHeight="1" x14ac:dyDescent="0.35">
      <c r="A125" s="1279"/>
      <c r="B125" s="1279"/>
      <c r="C125" s="1279" t="s">
        <v>3915</v>
      </c>
      <c r="D125" s="1279"/>
    </row>
    <row r="126" spans="1:4" ht="12.75" customHeight="1" x14ac:dyDescent="0.35">
      <c r="A126" s="1279"/>
      <c r="B126" s="1279"/>
      <c r="C126" s="1279"/>
      <c r="D126" s="1279"/>
    </row>
    <row r="127" spans="1:4" ht="12.75" customHeight="1" x14ac:dyDescent="0.35">
      <c r="A127" s="1279"/>
      <c r="B127" s="1279"/>
      <c r="C127" s="1279"/>
      <c r="D127" s="1279"/>
    </row>
    <row r="128" spans="1:4" ht="12.75" customHeight="1" x14ac:dyDescent="0.35">
      <c r="A128" s="1279"/>
      <c r="B128" s="1279"/>
      <c r="C128" s="1279"/>
      <c r="D128" s="1279"/>
    </row>
    <row r="129" spans="1:4" ht="12.75" customHeight="1" x14ac:dyDescent="0.35">
      <c r="A129" s="1279"/>
      <c r="B129" s="1279"/>
      <c r="C129" s="1279"/>
      <c r="D129" s="1279"/>
    </row>
    <row r="130" spans="1:4" ht="12.75" customHeight="1" x14ac:dyDescent="0.35">
      <c r="A130" s="1279"/>
      <c r="B130" s="1279" t="s">
        <v>3913</v>
      </c>
      <c r="C130" s="1279"/>
      <c r="D130" s="1279"/>
    </row>
    <row r="131" spans="1:4" ht="12.75" customHeight="1" x14ac:dyDescent="0.35">
      <c r="A131" s="1279"/>
      <c r="B131" s="1279"/>
      <c r="C131" s="1279" t="s">
        <v>3914</v>
      </c>
      <c r="D131" s="1279"/>
    </row>
    <row r="132" spans="1:4" ht="12.75" customHeight="1" x14ac:dyDescent="0.35">
      <c r="A132" s="1279"/>
      <c r="B132" s="1279"/>
      <c r="C132" s="1279"/>
      <c r="D132" s="1279"/>
    </row>
    <row r="133" spans="1:4" ht="12.75" customHeight="1" x14ac:dyDescent="0.35">
      <c r="A133" s="1279"/>
      <c r="B133" s="1279"/>
      <c r="C133" s="1279"/>
      <c r="D133" s="1279"/>
    </row>
    <row r="134" spans="1:4" ht="12.75" customHeight="1" x14ac:dyDescent="0.35">
      <c r="A134" s="1279"/>
      <c r="B134" s="1279" t="s">
        <v>3913</v>
      </c>
      <c r="C134" s="1279"/>
      <c r="D134" s="1279"/>
    </row>
    <row r="135" spans="1:4" ht="12.75" customHeight="1" x14ac:dyDescent="0.35">
      <c r="A135" s="1279"/>
      <c r="B135" s="1279"/>
      <c r="C135" s="1279" t="s">
        <v>3915</v>
      </c>
      <c r="D135" s="1279"/>
    </row>
    <row r="136" spans="1:4" ht="12.75" customHeight="1" x14ac:dyDescent="0.35">
      <c r="A136" s="1279"/>
      <c r="B136" s="1279"/>
      <c r="C136" s="1279"/>
      <c r="D136" s="1279"/>
    </row>
    <row r="137" spans="1:4" ht="12.75" customHeight="1" x14ac:dyDescent="0.35">
      <c r="A137" s="1279"/>
      <c r="B137" s="1279"/>
      <c r="C137" s="1279"/>
      <c r="D137" s="1279"/>
    </row>
    <row r="138" spans="1:4" ht="12.75" customHeight="1" x14ac:dyDescent="0.35">
      <c r="A138" s="1279"/>
      <c r="B138" s="1279"/>
      <c r="C138" s="1279"/>
      <c r="D138" s="1279"/>
    </row>
    <row r="139" spans="1:4" ht="12.75" customHeight="1" x14ac:dyDescent="0.35">
      <c r="A139" s="1279"/>
      <c r="B139" s="1279"/>
      <c r="C139" s="1279"/>
      <c r="D139" s="1279"/>
    </row>
    <row r="140" spans="1:4" ht="12.75" customHeight="1" x14ac:dyDescent="0.35">
      <c r="A140" s="1279"/>
      <c r="B140" s="1279" t="s">
        <v>3913</v>
      </c>
      <c r="C140" s="1279"/>
      <c r="D140" s="1279"/>
    </row>
    <row r="141" spans="1:4" ht="12.75" customHeight="1" x14ac:dyDescent="0.35">
      <c r="A141" s="1279"/>
      <c r="B141" s="1279"/>
      <c r="C141" s="1279" t="s">
        <v>3914</v>
      </c>
      <c r="D141" s="1279"/>
    </row>
    <row r="142" spans="1:4" ht="12.75" customHeight="1" x14ac:dyDescent="0.35">
      <c r="A142" s="1279"/>
      <c r="B142" s="1279"/>
      <c r="C142" s="1279"/>
      <c r="D142" s="1279"/>
    </row>
    <row r="143" spans="1:4" ht="12.75" customHeight="1" x14ac:dyDescent="0.35">
      <c r="A143" s="1279"/>
      <c r="B143" s="1279"/>
      <c r="C143" s="1279"/>
      <c r="D143" s="1279"/>
    </row>
    <row r="144" spans="1:4" ht="12.75" customHeight="1" x14ac:dyDescent="0.35">
      <c r="A144" s="1279"/>
      <c r="B144" s="1279" t="s">
        <v>3913</v>
      </c>
      <c r="C144" s="1279"/>
      <c r="D144" s="1279"/>
    </row>
    <row r="145" spans="1:4" ht="12.75" customHeight="1" x14ac:dyDescent="0.35">
      <c r="A145" s="1279"/>
      <c r="B145" s="1279"/>
      <c r="C145" s="1279" t="s">
        <v>3915</v>
      </c>
      <c r="D145" s="1279"/>
    </row>
    <row r="146" spans="1:4" ht="12.75" customHeight="1" x14ac:dyDescent="0.35">
      <c r="A146" s="1279"/>
      <c r="B146" s="1279"/>
      <c r="C146" s="1279"/>
      <c r="D146" s="1279"/>
    </row>
    <row r="147" spans="1:4" ht="12.75" customHeight="1" x14ac:dyDescent="0.35">
      <c r="A147" s="1279"/>
      <c r="B147" s="1279"/>
      <c r="C147" s="1279"/>
      <c r="D147" s="1279"/>
    </row>
    <row r="148" spans="1:4" ht="12.75" customHeight="1" x14ac:dyDescent="0.35">
      <c r="A148" s="1279"/>
      <c r="B148" s="1279"/>
      <c r="C148" s="1279"/>
      <c r="D148" s="1279"/>
    </row>
    <row r="149" spans="1:4" ht="12.75" customHeight="1" x14ac:dyDescent="0.35">
      <c r="A149" s="1279"/>
      <c r="B149" s="1279"/>
      <c r="C149" s="1279"/>
      <c r="D149" s="1279"/>
    </row>
    <row r="150" spans="1:4" ht="12.75" customHeight="1" x14ac:dyDescent="0.35">
      <c r="A150" s="1279"/>
      <c r="B150" s="1279" t="s">
        <v>3913</v>
      </c>
      <c r="C150" s="1279"/>
      <c r="D150" s="1279"/>
    </row>
    <row r="151" spans="1:4" ht="12.75" customHeight="1" x14ac:dyDescent="0.35">
      <c r="A151" s="1279"/>
      <c r="B151" s="1279"/>
      <c r="C151" s="1279" t="s">
        <v>3914</v>
      </c>
      <c r="D151" s="1279"/>
    </row>
    <row r="152" spans="1:4" ht="12.75" customHeight="1" x14ac:dyDescent="0.35">
      <c r="A152" s="1279"/>
      <c r="B152" s="1279"/>
      <c r="C152" s="1279"/>
      <c r="D152" s="1279"/>
    </row>
    <row r="153" spans="1:4" ht="12.75" customHeight="1" x14ac:dyDescent="0.35">
      <c r="A153" s="1279"/>
      <c r="B153" s="1279"/>
      <c r="C153" s="1279"/>
      <c r="D153" s="1279"/>
    </row>
    <row r="154" spans="1:4" ht="12.75" customHeight="1" x14ac:dyDescent="0.35">
      <c r="A154" s="1279"/>
      <c r="B154" s="1279" t="s">
        <v>3913</v>
      </c>
      <c r="C154" s="1279"/>
      <c r="D154" s="1279"/>
    </row>
    <row r="155" spans="1:4" ht="12.75" customHeight="1" x14ac:dyDescent="0.35">
      <c r="A155" s="1279"/>
      <c r="B155" s="1279"/>
      <c r="C155" s="1279" t="s">
        <v>3915</v>
      </c>
      <c r="D155" s="1279"/>
    </row>
    <row r="156" spans="1:4" ht="12.75" customHeight="1" x14ac:dyDescent="0.35">
      <c r="A156" s="1279"/>
      <c r="B156" s="1279"/>
      <c r="C156" s="1279"/>
      <c r="D156" s="1279"/>
    </row>
    <row r="157" spans="1:4" ht="12.75" customHeight="1" x14ac:dyDescent="0.35">
      <c r="A157" s="1279"/>
      <c r="B157" s="1279"/>
      <c r="C157" s="1279"/>
      <c r="D157" s="1279"/>
    </row>
    <row r="158" spans="1:4" ht="12.75" customHeight="1" x14ac:dyDescent="0.35">
      <c r="A158" s="1279"/>
      <c r="B158" s="1279"/>
      <c r="C158" s="1279"/>
      <c r="D158" s="1279"/>
    </row>
    <row r="159" spans="1:4" ht="12.75" customHeight="1" x14ac:dyDescent="0.35">
      <c r="A159" s="1279"/>
      <c r="B159" s="1279"/>
      <c r="C159" s="1279"/>
      <c r="D159" s="1279"/>
    </row>
    <row r="160" spans="1:4" ht="12.75" customHeight="1" x14ac:dyDescent="0.35">
      <c r="A160" s="1279"/>
      <c r="B160" s="1279" t="s">
        <v>3913</v>
      </c>
      <c r="C160" s="1279"/>
      <c r="D160" s="1279"/>
    </row>
    <row r="161" spans="1:4" ht="12.75" customHeight="1" x14ac:dyDescent="0.35">
      <c r="A161" s="1279"/>
      <c r="B161" s="1279"/>
      <c r="C161" s="1279" t="s">
        <v>3914</v>
      </c>
      <c r="D161" s="1279"/>
    </row>
    <row r="162" spans="1:4" ht="12.75" customHeight="1" x14ac:dyDescent="0.35">
      <c r="A162" s="1279"/>
      <c r="B162" s="1279"/>
      <c r="C162" s="1279"/>
      <c r="D162" s="1279"/>
    </row>
    <row r="163" spans="1:4" ht="12.75" customHeight="1" x14ac:dyDescent="0.35">
      <c r="A163" s="1279"/>
      <c r="B163" s="1279"/>
      <c r="C163" s="1279"/>
      <c r="D163" s="1279"/>
    </row>
    <row r="164" spans="1:4" ht="12.75" customHeight="1" x14ac:dyDescent="0.35">
      <c r="A164" s="1279"/>
      <c r="B164" s="1279" t="s">
        <v>3913</v>
      </c>
      <c r="C164" s="1279"/>
      <c r="D164" s="1279"/>
    </row>
    <row r="165" spans="1:4" ht="12.75" customHeight="1" x14ac:dyDescent="0.35">
      <c r="A165" s="1279"/>
      <c r="B165" s="1279"/>
      <c r="C165" s="1279" t="s">
        <v>3915</v>
      </c>
      <c r="D165" s="1279"/>
    </row>
    <row r="166" spans="1:4" ht="12.75" customHeight="1" x14ac:dyDescent="0.35">
      <c r="A166" s="1279"/>
      <c r="B166" s="1279"/>
      <c r="C166" s="1279"/>
      <c r="D166" s="1279"/>
    </row>
    <row r="167" spans="1:4" ht="12.75" customHeight="1" x14ac:dyDescent="0.35">
      <c r="A167" s="1279"/>
      <c r="B167" s="1279"/>
      <c r="C167" s="1279"/>
      <c r="D167" s="1279"/>
    </row>
    <row r="168" spans="1:4" ht="12.75" customHeight="1" x14ac:dyDescent="0.35">
      <c r="A168" s="1279"/>
      <c r="B168" s="1279"/>
      <c r="C168" s="1279"/>
      <c r="D168" s="1279"/>
    </row>
    <row r="169" spans="1:4" ht="12.75" customHeight="1" x14ac:dyDescent="0.35">
      <c r="A169" s="1279"/>
      <c r="B169" s="1279"/>
      <c r="C169" s="1279"/>
      <c r="D169" s="1279"/>
    </row>
    <row r="170" spans="1:4" ht="12.75" customHeight="1" x14ac:dyDescent="0.35">
      <c r="A170" s="1279"/>
      <c r="B170" s="1279" t="s">
        <v>3913</v>
      </c>
      <c r="C170" s="1279"/>
      <c r="D170" s="1279"/>
    </row>
    <row r="171" spans="1:4" ht="12.75" customHeight="1" x14ac:dyDescent="0.35">
      <c r="A171" s="1279"/>
      <c r="B171" s="1279"/>
      <c r="C171" s="1279" t="s">
        <v>3914</v>
      </c>
      <c r="D171" s="1279"/>
    </row>
    <row r="172" spans="1:4" ht="12.75" customHeight="1" x14ac:dyDescent="0.35">
      <c r="A172" s="1279"/>
      <c r="B172" s="1279"/>
      <c r="C172" s="1279"/>
      <c r="D172" s="1279"/>
    </row>
    <row r="173" spans="1:4" ht="12.75" customHeight="1" x14ac:dyDescent="0.35">
      <c r="A173" s="1279"/>
      <c r="B173" s="1279"/>
      <c r="C173" s="1279"/>
      <c r="D173" s="1279"/>
    </row>
    <row r="174" spans="1:4" ht="12.75" customHeight="1" x14ac:dyDescent="0.35">
      <c r="A174" s="1279"/>
      <c r="B174" s="1279" t="s">
        <v>3913</v>
      </c>
      <c r="C174" s="1279"/>
      <c r="D174" s="1279"/>
    </row>
    <row r="175" spans="1:4" ht="12.75" customHeight="1" x14ac:dyDescent="0.35">
      <c r="A175" s="1279"/>
      <c r="B175" s="1279"/>
      <c r="C175" s="1279" t="s">
        <v>3915</v>
      </c>
      <c r="D175" s="1279"/>
    </row>
    <row r="176" spans="1:4" ht="12.75" customHeight="1" x14ac:dyDescent="0.35">
      <c r="A176" s="1279"/>
      <c r="B176" s="1279"/>
      <c r="C176" s="1279"/>
      <c r="D176" s="1279"/>
    </row>
    <row r="177" spans="1:4" ht="12.75" customHeight="1" x14ac:dyDescent="0.35">
      <c r="A177" s="1279"/>
      <c r="B177" s="1279"/>
      <c r="C177" s="1279"/>
      <c r="D177" s="1279"/>
    </row>
    <row r="178" spans="1:4" ht="12.75" customHeight="1" x14ac:dyDescent="0.35">
      <c r="A178" s="1279"/>
      <c r="B178" s="1279"/>
      <c r="C178" s="1279"/>
      <c r="D178" s="1279"/>
    </row>
    <row r="179" spans="1:4" ht="12.75" customHeight="1" x14ac:dyDescent="0.35">
      <c r="A179" s="1279"/>
      <c r="B179" s="1279"/>
      <c r="C179" s="1279"/>
      <c r="D179" s="1279"/>
    </row>
    <row r="180" spans="1:4" ht="12.75" customHeight="1" x14ac:dyDescent="0.35">
      <c r="A180" s="1279"/>
      <c r="B180" s="1279" t="s">
        <v>3913</v>
      </c>
      <c r="C180" s="1279"/>
      <c r="D180" s="1279"/>
    </row>
    <row r="181" spans="1:4" ht="12.75" customHeight="1" x14ac:dyDescent="0.35">
      <c r="A181" s="1279"/>
      <c r="B181" s="1279"/>
      <c r="C181" s="1279" t="s">
        <v>3914</v>
      </c>
      <c r="D181" s="1279"/>
    </row>
    <row r="182" spans="1:4" ht="12.75" customHeight="1" x14ac:dyDescent="0.35">
      <c r="A182" s="1279"/>
      <c r="B182" s="1279"/>
      <c r="C182" s="1279"/>
      <c r="D182" s="1279"/>
    </row>
    <row r="183" spans="1:4" ht="12.75" customHeight="1" x14ac:dyDescent="0.35">
      <c r="A183" s="1279"/>
      <c r="B183" s="1279"/>
      <c r="C183" s="1279"/>
      <c r="D183" s="1279"/>
    </row>
    <row r="184" spans="1:4" ht="12.75" customHeight="1" x14ac:dyDescent="0.35">
      <c r="A184" s="1279"/>
      <c r="B184" s="1279" t="s">
        <v>3913</v>
      </c>
      <c r="C184" s="1279"/>
      <c r="D184" s="1279"/>
    </row>
    <row r="185" spans="1:4" ht="12.75" customHeight="1" x14ac:dyDescent="0.35">
      <c r="A185" s="1279"/>
      <c r="B185" s="1279"/>
      <c r="C185" s="1279" t="s">
        <v>3915</v>
      </c>
      <c r="D185" s="1279"/>
    </row>
    <row r="186" spans="1:4" ht="12.75" customHeight="1" x14ac:dyDescent="0.35">
      <c r="A186" s="1279"/>
      <c r="B186" s="1279"/>
      <c r="C186" s="1279"/>
      <c r="D186" s="1279"/>
    </row>
    <row r="187" spans="1:4" ht="12.75" customHeight="1" x14ac:dyDescent="0.35">
      <c r="A187" s="1279"/>
      <c r="B187" s="1279"/>
      <c r="C187" s="1279"/>
      <c r="D187" s="1279"/>
    </row>
    <row r="188" spans="1:4" ht="12.75" customHeight="1" x14ac:dyDescent="0.35">
      <c r="A188" s="1279"/>
      <c r="B188" s="1279"/>
      <c r="C188" s="1279"/>
      <c r="D188" s="1279"/>
    </row>
    <row r="189" spans="1:4" ht="12.75" customHeight="1" x14ac:dyDescent="0.35">
      <c r="A189" s="1279"/>
      <c r="B189" s="1279"/>
      <c r="C189" s="1279"/>
      <c r="D189" s="1279"/>
    </row>
    <row r="190" spans="1:4" ht="12.75" customHeight="1" x14ac:dyDescent="0.35">
      <c r="A190" s="1279"/>
      <c r="B190" s="1279" t="s">
        <v>3913</v>
      </c>
      <c r="C190" s="1279"/>
      <c r="D190" s="1279"/>
    </row>
    <row r="191" spans="1:4" ht="12.75" customHeight="1" x14ac:dyDescent="0.35">
      <c r="A191" s="1279"/>
      <c r="B191" s="1279"/>
      <c r="C191" s="1279" t="s">
        <v>3914</v>
      </c>
      <c r="D191" s="1279"/>
    </row>
    <row r="192" spans="1:4" ht="12.75" customHeight="1" x14ac:dyDescent="0.35">
      <c r="A192" s="1279"/>
      <c r="B192" s="1279"/>
      <c r="C192" s="1279"/>
      <c r="D192" s="1279"/>
    </row>
    <row r="193" spans="1:4" ht="12.75" customHeight="1" x14ac:dyDescent="0.35">
      <c r="A193" s="1279"/>
      <c r="B193" s="1279"/>
      <c r="C193" s="1279"/>
      <c r="D193" s="1279"/>
    </row>
    <row r="194" spans="1:4" ht="12.75" customHeight="1" x14ac:dyDescent="0.35">
      <c r="A194" s="1279"/>
      <c r="B194" s="1279" t="s">
        <v>3913</v>
      </c>
      <c r="C194" s="1279"/>
      <c r="D194" s="1279"/>
    </row>
    <row r="195" spans="1:4" ht="12.75" customHeight="1" x14ac:dyDescent="0.35">
      <c r="A195" s="1279"/>
      <c r="B195" s="1279"/>
      <c r="C195" s="1279" t="s">
        <v>3915</v>
      </c>
      <c r="D195" s="1279"/>
    </row>
    <row r="196" spans="1:4" ht="12.75" customHeight="1" x14ac:dyDescent="0.35">
      <c r="A196" s="1279"/>
      <c r="B196" s="1279"/>
      <c r="C196" s="1279"/>
      <c r="D196" s="1279"/>
    </row>
    <row r="197" spans="1:4" ht="12.75" customHeight="1" x14ac:dyDescent="0.35">
      <c r="A197" s="1279"/>
      <c r="B197" s="1279"/>
      <c r="C197" s="1279"/>
      <c r="D197" s="1279"/>
    </row>
    <row r="198" spans="1:4" ht="12.75" customHeight="1" x14ac:dyDescent="0.35">
      <c r="A198" s="1279"/>
      <c r="B198" s="1279"/>
      <c r="C198" s="1279"/>
      <c r="D198" s="1279"/>
    </row>
    <row r="199" spans="1:4" ht="12.75" customHeight="1" x14ac:dyDescent="0.35">
      <c r="A199" s="1279"/>
      <c r="B199" s="1279"/>
      <c r="C199" s="1279"/>
      <c r="D199" s="1279"/>
    </row>
    <row r="200" spans="1:4" ht="12.75" customHeight="1" x14ac:dyDescent="0.35">
      <c r="A200" s="1279"/>
      <c r="B200" s="1279" t="s">
        <v>3913</v>
      </c>
      <c r="C200" s="1279"/>
      <c r="D200" s="1279"/>
    </row>
    <row r="201" spans="1:4" ht="12.75" customHeight="1" x14ac:dyDescent="0.35">
      <c r="A201" s="1279"/>
      <c r="B201" s="1279"/>
      <c r="C201" s="1279" t="s">
        <v>3914</v>
      </c>
      <c r="D201" s="1279"/>
    </row>
    <row r="202" spans="1:4" ht="12.75" customHeight="1" x14ac:dyDescent="0.35">
      <c r="A202" s="1279"/>
      <c r="B202" s="1279"/>
      <c r="C202" s="1279"/>
      <c r="D202" s="1279"/>
    </row>
    <row r="203" spans="1:4" ht="12.75" customHeight="1" x14ac:dyDescent="0.35">
      <c r="A203" s="1279"/>
      <c r="B203" s="1279"/>
      <c r="C203" s="1279"/>
      <c r="D203" s="1279"/>
    </row>
    <row r="204" spans="1:4" ht="12.75" customHeight="1" x14ac:dyDescent="0.35">
      <c r="A204" s="1279"/>
      <c r="B204" s="1279" t="s">
        <v>3913</v>
      </c>
      <c r="C204" s="1279"/>
      <c r="D204" s="1279"/>
    </row>
    <row r="205" spans="1:4" ht="12.75" customHeight="1" x14ac:dyDescent="0.35">
      <c r="A205" s="1279"/>
      <c r="B205" s="1279"/>
      <c r="C205" s="1279" t="s">
        <v>3915</v>
      </c>
      <c r="D205" s="1279"/>
    </row>
    <row r="206" spans="1:4" ht="12.75" customHeight="1" x14ac:dyDescent="0.35">
      <c r="A206" s="1279"/>
      <c r="B206" s="1279"/>
      <c r="C206" s="1279"/>
      <c r="D206" s="1279"/>
    </row>
    <row r="207" spans="1:4" ht="12.75" customHeight="1" x14ac:dyDescent="0.35">
      <c r="A207" s="1279"/>
      <c r="B207" s="1279"/>
      <c r="C207" s="1279"/>
      <c r="D207" s="1279"/>
    </row>
    <row r="208" spans="1:4" ht="12.75" customHeight="1" x14ac:dyDescent="0.35">
      <c r="A208" s="1279"/>
      <c r="B208" s="1279"/>
      <c r="C208" s="1279"/>
      <c r="D208" s="1279"/>
    </row>
    <row r="209" spans="1:4" ht="12.75" customHeight="1" x14ac:dyDescent="0.35">
      <c r="A209" s="1279"/>
      <c r="B209" s="1279"/>
      <c r="C209" s="1279"/>
      <c r="D209" s="1279"/>
    </row>
    <row r="210" spans="1:4" ht="12.75" customHeight="1" x14ac:dyDescent="0.35">
      <c r="A210" s="1279"/>
      <c r="B210" s="1279" t="s">
        <v>3913</v>
      </c>
      <c r="C210" s="1279"/>
      <c r="D210" s="1279"/>
    </row>
    <row r="211" spans="1:4" ht="12.75" customHeight="1" x14ac:dyDescent="0.35">
      <c r="A211" s="1279"/>
      <c r="B211" s="1279"/>
      <c r="C211" s="1279" t="s">
        <v>3914</v>
      </c>
      <c r="D211" s="1279"/>
    </row>
    <row r="212" spans="1:4" ht="12.75" customHeight="1" x14ac:dyDescent="0.35">
      <c r="A212" s="1279"/>
      <c r="B212" s="1279"/>
      <c r="C212" s="1279"/>
      <c r="D212" s="1279"/>
    </row>
    <row r="213" spans="1:4" ht="12.75" customHeight="1" x14ac:dyDescent="0.35">
      <c r="A213" s="1279"/>
      <c r="B213" s="1279"/>
      <c r="C213" s="1279"/>
      <c r="D213" s="1279"/>
    </row>
    <row r="214" spans="1:4" ht="12.75" customHeight="1" x14ac:dyDescent="0.35">
      <c r="A214" s="1279"/>
      <c r="B214" s="1279" t="s">
        <v>3913</v>
      </c>
      <c r="C214" s="1279"/>
      <c r="D214" s="1279"/>
    </row>
    <row r="215" spans="1:4" ht="12.75" customHeight="1" x14ac:dyDescent="0.35">
      <c r="A215" s="1279"/>
      <c r="B215" s="1279"/>
      <c r="C215" s="1279" t="s">
        <v>3915</v>
      </c>
      <c r="D215" s="1279"/>
    </row>
    <row r="216" spans="1:4" ht="12.75" customHeight="1" x14ac:dyDescent="0.35">
      <c r="A216" s="1279"/>
      <c r="B216" s="1279"/>
      <c r="C216" s="1279"/>
      <c r="D216" s="1279"/>
    </row>
    <row r="217" spans="1:4" ht="12.75" customHeight="1" x14ac:dyDescent="0.35">
      <c r="A217" s="1279"/>
      <c r="B217" s="1279"/>
      <c r="C217" s="1279"/>
      <c r="D217" s="1279"/>
    </row>
    <row r="218" spans="1:4" ht="12.75" customHeight="1" x14ac:dyDescent="0.35">
      <c r="A218" s="1279"/>
      <c r="B218" s="1279"/>
      <c r="C218" s="1279"/>
      <c r="D218" s="1279"/>
    </row>
    <row r="219" spans="1:4" ht="12.75" customHeight="1" x14ac:dyDescent="0.35">
      <c r="A219" s="1279"/>
      <c r="B219" s="1279"/>
      <c r="C219" s="1279"/>
      <c r="D219" s="1279"/>
    </row>
    <row r="220" spans="1:4" ht="12.75" customHeight="1" x14ac:dyDescent="0.35">
      <c r="A220" s="1279"/>
      <c r="B220" s="1279" t="s">
        <v>3913</v>
      </c>
      <c r="C220" s="1279"/>
      <c r="D220" s="1279"/>
    </row>
    <row r="221" spans="1:4" ht="12.75" customHeight="1" x14ac:dyDescent="0.35">
      <c r="A221" s="1279"/>
      <c r="B221" s="1279"/>
      <c r="C221" s="1279" t="s">
        <v>3914</v>
      </c>
      <c r="D221" s="1279"/>
    </row>
    <row r="222" spans="1:4" ht="12.75" customHeight="1" x14ac:dyDescent="0.35">
      <c r="A222" s="1279"/>
      <c r="B222" s="1279"/>
      <c r="C222" s="1279"/>
      <c r="D222" s="1279"/>
    </row>
    <row r="223" spans="1:4" ht="12.75" customHeight="1" x14ac:dyDescent="0.35">
      <c r="A223" s="1279"/>
      <c r="B223" s="1279"/>
      <c r="C223" s="1279"/>
      <c r="D223" s="1279"/>
    </row>
    <row r="224" spans="1:4" ht="12.75" customHeight="1" x14ac:dyDescent="0.35">
      <c r="A224" s="1279"/>
      <c r="B224" s="1279" t="s">
        <v>3913</v>
      </c>
      <c r="C224" s="1279"/>
      <c r="D224" s="1279"/>
    </row>
    <row r="225" spans="1:4" ht="12.75" customHeight="1" x14ac:dyDescent="0.35">
      <c r="A225" s="1279"/>
      <c r="B225" s="1279"/>
      <c r="C225" s="1279" t="s">
        <v>3915</v>
      </c>
      <c r="D225" s="1279"/>
    </row>
    <row r="226" spans="1:4" ht="12.75" customHeight="1" x14ac:dyDescent="0.35">
      <c r="A226" s="1279"/>
      <c r="B226" s="1279"/>
      <c r="C226" s="1279"/>
      <c r="D226" s="1279"/>
    </row>
    <row r="227" spans="1:4" ht="12.75" customHeight="1" x14ac:dyDescent="0.35">
      <c r="A227" s="1279"/>
      <c r="B227" s="1279"/>
      <c r="C227" s="1279"/>
      <c r="D227" s="1279"/>
    </row>
    <row r="228" spans="1:4" ht="12.75" customHeight="1" x14ac:dyDescent="0.35">
      <c r="A228" s="1279"/>
      <c r="B228" s="1279"/>
      <c r="C228" s="1279"/>
      <c r="D228" s="1279"/>
    </row>
    <row r="229" spans="1:4" ht="12.75" customHeight="1" x14ac:dyDescent="0.35">
      <c r="A229" s="1279"/>
      <c r="B229" s="1279"/>
      <c r="C229" s="1279"/>
      <c r="D229" s="1279"/>
    </row>
    <row r="230" spans="1:4" ht="12.75" customHeight="1" x14ac:dyDescent="0.35">
      <c r="A230" s="1279"/>
      <c r="B230" s="1279" t="s">
        <v>3913</v>
      </c>
      <c r="C230" s="1279"/>
      <c r="D230" s="1279"/>
    </row>
    <row r="231" spans="1:4" ht="12.75" customHeight="1" x14ac:dyDescent="0.35">
      <c r="A231" s="1279"/>
      <c r="B231" s="1279"/>
      <c r="C231" s="1279" t="s">
        <v>3914</v>
      </c>
      <c r="D231" s="1279"/>
    </row>
    <row r="232" spans="1:4" ht="12.75" customHeight="1" x14ac:dyDescent="0.35">
      <c r="A232" s="1279"/>
      <c r="B232" s="1279"/>
      <c r="C232" s="1279"/>
      <c r="D232" s="1279"/>
    </row>
    <row r="233" spans="1:4" ht="12.75" customHeight="1" x14ac:dyDescent="0.35">
      <c r="A233" s="1279"/>
      <c r="B233" s="1279"/>
      <c r="C233" s="1279"/>
      <c r="D233" s="1279"/>
    </row>
    <row r="234" spans="1:4" ht="12.75" customHeight="1" x14ac:dyDescent="0.35">
      <c r="A234" s="1279"/>
      <c r="B234" s="1279" t="s">
        <v>3913</v>
      </c>
      <c r="C234" s="1279"/>
      <c r="D234" s="1279"/>
    </row>
    <row r="235" spans="1:4" ht="12.75" customHeight="1" x14ac:dyDescent="0.35">
      <c r="A235" s="1279"/>
      <c r="B235" s="1279"/>
      <c r="C235" s="1279" t="s">
        <v>3915</v>
      </c>
      <c r="D235" s="1279"/>
    </row>
    <row r="236" spans="1:4" ht="12.75" customHeight="1" x14ac:dyDescent="0.35">
      <c r="A236" s="1279"/>
      <c r="B236" s="1279"/>
      <c r="C236" s="1279"/>
      <c r="D236" s="1279"/>
    </row>
    <row r="237" spans="1:4" ht="12.75" customHeight="1" x14ac:dyDescent="0.35">
      <c r="A237" s="1279"/>
      <c r="B237" s="1279"/>
      <c r="C237" s="1279"/>
      <c r="D237" s="1279"/>
    </row>
    <row r="238" spans="1:4" ht="12.75" customHeight="1" x14ac:dyDescent="0.35">
      <c r="A238" s="1279"/>
      <c r="B238" s="1279"/>
      <c r="C238" s="1279"/>
      <c r="D238" s="1279"/>
    </row>
    <row r="239" spans="1:4" ht="12.75" customHeight="1" x14ac:dyDescent="0.35">
      <c r="A239" s="1279"/>
      <c r="B239" s="1279"/>
      <c r="C239" s="1279"/>
      <c r="D239" s="1279"/>
    </row>
    <row r="240" spans="1:4" ht="12.75" customHeight="1" x14ac:dyDescent="0.35">
      <c r="A240" s="1279"/>
      <c r="B240" s="1279" t="s">
        <v>3913</v>
      </c>
      <c r="C240" s="1279"/>
      <c r="D240" s="1279"/>
    </row>
    <row r="241" spans="1:4" ht="12.75" customHeight="1" x14ac:dyDescent="0.35">
      <c r="A241" s="1279"/>
      <c r="B241" s="1279"/>
      <c r="C241" s="1279" t="s">
        <v>3914</v>
      </c>
      <c r="D241" s="1279"/>
    </row>
    <row r="242" spans="1:4" ht="12.75" customHeight="1" x14ac:dyDescent="0.35">
      <c r="A242" s="1279"/>
      <c r="B242" s="1279"/>
      <c r="C242" s="1279"/>
      <c r="D242" s="1279"/>
    </row>
    <row r="243" spans="1:4" ht="12.75" customHeight="1" x14ac:dyDescent="0.35">
      <c r="A243" s="1279"/>
      <c r="B243" s="1279"/>
      <c r="C243" s="1279"/>
      <c r="D243" s="1279"/>
    </row>
    <row r="244" spans="1:4" ht="12.75" customHeight="1" x14ac:dyDescent="0.35">
      <c r="A244" s="1279"/>
      <c r="B244" s="1279" t="s">
        <v>3913</v>
      </c>
      <c r="C244" s="1279"/>
      <c r="D244" s="1279"/>
    </row>
    <row r="245" spans="1:4" ht="12.75" customHeight="1" x14ac:dyDescent="0.35">
      <c r="A245" s="1279"/>
      <c r="B245" s="1279"/>
      <c r="C245" s="1279" t="s">
        <v>3915</v>
      </c>
      <c r="D245" s="1279"/>
    </row>
    <row r="246" spans="1:4" ht="12.75" customHeight="1" x14ac:dyDescent="0.35">
      <c r="A246" s="1279"/>
      <c r="B246" s="1279"/>
      <c r="C246" s="1279"/>
      <c r="D246" s="1279"/>
    </row>
    <row r="247" spans="1:4" ht="12.75" customHeight="1" x14ac:dyDescent="0.35">
      <c r="A247" s="1279"/>
      <c r="B247" s="1279"/>
      <c r="C247" s="1279"/>
      <c r="D247" s="1279"/>
    </row>
    <row r="248" spans="1:4" ht="12.75" customHeight="1" x14ac:dyDescent="0.35">
      <c r="A248" s="1279"/>
      <c r="B248" s="1279"/>
      <c r="C248" s="1279"/>
      <c r="D248" s="1279"/>
    </row>
    <row r="249" spans="1:4" ht="12.75" customHeight="1" x14ac:dyDescent="0.35">
      <c r="A249" s="1279"/>
      <c r="B249" s="1279"/>
      <c r="C249" s="1279"/>
      <c r="D249" s="1279"/>
    </row>
    <row r="250" spans="1:4" ht="12.75" customHeight="1" x14ac:dyDescent="0.35">
      <c r="A250" s="1279"/>
      <c r="B250" s="1279" t="s">
        <v>3913</v>
      </c>
      <c r="C250" s="1279"/>
      <c r="D250" s="1279"/>
    </row>
    <row r="251" spans="1:4" ht="12.75" customHeight="1" x14ac:dyDescent="0.35">
      <c r="A251" s="1279"/>
      <c r="B251" s="1279"/>
      <c r="C251" s="1279" t="s">
        <v>3914</v>
      </c>
      <c r="D251" s="1279"/>
    </row>
    <row r="252" spans="1:4" ht="12.75" customHeight="1" x14ac:dyDescent="0.35">
      <c r="A252" s="1279"/>
      <c r="B252" s="1279"/>
      <c r="C252" s="1279"/>
      <c r="D252" s="1279"/>
    </row>
    <row r="253" spans="1:4" ht="12.75" customHeight="1" x14ac:dyDescent="0.35">
      <c r="A253" s="1279"/>
      <c r="B253" s="1279"/>
      <c r="C253" s="1279"/>
      <c r="D253" s="1279"/>
    </row>
    <row r="254" spans="1:4" ht="12.75" customHeight="1" x14ac:dyDescent="0.35">
      <c r="A254" s="1279"/>
      <c r="B254" s="1279" t="s">
        <v>3913</v>
      </c>
      <c r="C254" s="1279"/>
      <c r="D254" s="1279"/>
    </row>
    <row r="255" spans="1:4" ht="12.75" customHeight="1" x14ac:dyDescent="0.35">
      <c r="A255" s="1279"/>
      <c r="B255" s="1279"/>
      <c r="C255" s="1279" t="s">
        <v>3915</v>
      </c>
      <c r="D255" s="1279"/>
    </row>
    <row r="256" spans="1:4" ht="12.75" customHeight="1" x14ac:dyDescent="0.35">
      <c r="A256" s="1279"/>
      <c r="B256" s="1279"/>
      <c r="C256" s="1279"/>
      <c r="D256" s="1279"/>
    </row>
    <row r="257" spans="1:4" ht="12.75" customHeight="1" x14ac:dyDescent="0.35">
      <c r="A257" s="1279"/>
      <c r="B257" s="1279"/>
      <c r="C257" s="1279"/>
      <c r="D257" s="1279"/>
    </row>
    <row r="258" spans="1:4" ht="12.75" customHeight="1" x14ac:dyDescent="0.35">
      <c r="A258" s="1279"/>
      <c r="B258" s="1279"/>
      <c r="C258" s="1279"/>
      <c r="D258" s="1279"/>
    </row>
    <row r="259" spans="1:4" ht="12.75" customHeight="1" x14ac:dyDescent="0.35">
      <c r="A259" s="1279"/>
      <c r="B259" s="1279"/>
      <c r="C259" s="1279"/>
      <c r="D259" s="1279"/>
    </row>
    <row r="260" spans="1:4" ht="12.75" customHeight="1" x14ac:dyDescent="0.35">
      <c r="A260" s="1279"/>
      <c r="B260" s="1279" t="s">
        <v>3913</v>
      </c>
      <c r="C260" s="1279"/>
      <c r="D260" s="1279"/>
    </row>
    <row r="261" spans="1:4" ht="12.75" customHeight="1" x14ac:dyDescent="0.35">
      <c r="A261" s="1279"/>
      <c r="B261" s="1279"/>
      <c r="C261" s="1279" t="s">
        <v>3914</v>
      </c>
      <c r="D261" s="1279"/>
    </row>
    <row r="262" spans="1:4" ht="12.75" customHeight="1" x14ac:dyDescent="0.35">
      <c r="A262" s="1279"/>
      <c r="B262" s="1279"/>
      <c r="C262" s="1279"/>
      <c r="D262" s="1279"/>
    </row>
    <row r="263" spans="1:4" ht="12.75" customHeight="1" x14ac:dyDescent="0.35">
      <c r="A263" s="1279"/>
      <c r="B263" s="1279"/>
      <c r="C263" s="1279"/>
      <c r="D263" s="1279"/>
    </row>
    <row r="264" spans="1:4" ht="12.75" customHeight="1" x14ac:dyDescent="0.35">
      <c r="A264" s="1279"/>
      <c r="B264" s="1279" t="s">
        <v>3913</v>
      </c>
      <c r="C264" s="1279"/>
      <c r="D264" s="1279"/>
    </row>
    <row r="265" spans="1:4" ht="12.75" customHeight="1" x14ac:dyDescent="0.35">
      <c r="A265" s="1279"/>
      <c r="B265" s="1279"/>
      <c r="C265" s="1279" t="s">
        <v>3915</v>
      </c>
      <c r="D265" s="1279"/>
    </row>
    <row r="266" spans="1:4" ht="12.75" customHeight="1" x14ac:dyDescent="0.35">
      <c r="A266" s="1279"/>
      <c r="B266" s="1279"/>
      <c r="C266" s="1279"/>
      <c r="D266" s="1279"/>
    </row>
    <row r="267" spans="1:4" ht="12.75" customHeight="1" x14ac:dyDescent="0.35">
      <c r="A267" s="1279"/>
      <c r="B267" s="1279"/>
      <c r="C267" s="1279"/>
      <c r="D267" s="1279"/>
    </row>
    <row r="268" spans="1:4" ht="12.75" customHeight="1" x14ac:dyDescent="0.35">
      <c r="A268" s="1279"/>
      <c r="B268" s="1279"/>
      <c r="C268" s="1279"/>
      <c r="D268" s="1279"/>
    </row>
    <row r="269" spans="1:4" ht="12.75" customHeight="1" x14ac:dyDescent="0.35">
      <c r="A269" s="1279"/>
      <c r="B269" s="1279"/>
      <c r="C269" s="1279"/>
      <c r="D269" s="1279"/>
    </row>
    <row r="270" spans="1:4" ht="12.75" customHeight="1" x14ac:dyDescent="0.35">
      <c r="A270" s="1279"/>
      <c r="B270" s="1279" t="s">
        <v>3913</v>
      </c>
      <c r="C270" s="1279"/>
      <c r="D270" s="1279"/>
    </row>
    <row r="271" spans="1:4" ht="12.75" customHeight="1" x14ac:dyDescent="0.35">
      <c r="A271" s="1279"/>
      <c r="B271" s="1279"/>
      <c r="C271" s="1279" t="s">
        <v>3914</v>
      </c>
      <c r="D271" s="1279"/>
    </row>
    <row r="272" spans="1:4" ht="12.75" customHeight="1" x14ac:dyDescent="0.35">
      <c r="A272" s="1279"/>
      <c r="B272" s="1279"/>
      <c r="C272" s="1279"/>
      <c r="D272" s="1279"/>
    </row>
    <row r="273" spans="1:4" ht="12.75" customHeight="1" x14ac:dyDescent="0.35">
      <c r="A273" s="1279"/>
      <c r="B273" s="1279"/>
      <c r="C273" s="1279"/>
      <c r="D273" s="1279"/>
    </row>
    <row r="274" spans="1:4" ht="12.75" customHeight="1" x14ac:dyDescent="0.35">
      <c r="A274" s="1279"/>
      <c r="B274" s="1279" t="s">
        <v>3913</v>
      </c>
      <c r="C274" s="1279"/>
      <c r="D274" s="1279"/>
    </row>
    <row r="275" spans="1:4" ht="12.75" customHeight="1" x14ac:dyDescent="0.35">
      <c r="A275" s="1279"/>
      <c r="B275" s="1279"/>
      <c r="C275" s="1279" t="s">
        <v>3915</v>
      </c>
      <c r="D275" s="1279"/>
    </row>
    <row r="276" spans="1:4" ht="12.75" customHeight="1" x14ac:dyDescent="0.35">
      <c r="A276" s="1279"/>
      <c r="B276" s="1279"/>
      <c r="C276" s="1279"/>
      <c r="D276" s="1279"/>
    </row>
    <row r="277" spans="1:4" ht="12.75" customHeight="1" x14ac:dyDescent="0.35">
      <c r="A277" s="1279"/>
      <c r="B277" s="1279"/>
      <c r="C277" s="1279"/>
      <c r="D277" s="1279"/>
    </row>
    <row r="278" spans="1:4" ht="12.75" customHeight="1" x14ac:dyDescent="0.35">
      <c r="A278" s="1279"/>
      <c r="B278" s="1279"/>
      <c r="C278" s="1279"/>
      <c r="D278" s="1279"/>
    </row>
    <row r="279" spans="1:4" ht="12.75" customHeight="1" x14ac:dyDescent="0.35">
      <c r="A279" s="1279"/>
      <c r="B279" s="1279"/>
      <c r="C279" s="1279"/>
      <c r="D279" s="1279"/>
    </row>
    <row r="280" spans="1:4" ht="12.75" customHeight="1" x14ac:dyDescent="0.35">
      <c r="A280" s="1279"/>
      <c r="B280" s="1279" t="s">
        <v>3913</v>
      </c>
      <c r="C280" s="1279"/>
      <c r="D280" s="1279"/>
    </row>
    <row r="281" spans="1:4" ht="12.75" customHeight="1" x14ac:dyDescent="0.35">
      <c r="A281" s="1279"/>
      <c r="B281" s="1279"/>
      <c r="C281" s="1279" t="s">
        <v>3914</v>
      </c>
      <c r="D281" s="1279"/>
    </row>
    <row r="282" spans="1:4" ht="12.75" customHeight="1" x14ac:dyDescent="0.35">
      <c r="A282" s="1279"/>
      <c r="B282" s="1279"/>
      <c r="C282" s="1279"/>
      <c r="D282" s="1279"/>
    </row>
    <row r="283" spans="1:4" ht="12.75" customHeight="1" x14ac:dyDescent="0.35">
      <c r="A283" s="1279"/>
      <c r="B283" s="1279"/>
      <c r="C283" s="1279"/>
      <c r="D283" s="1279"/>
    </row>
    <row r="284" spans="1:4" ht="12.75" customHeight="1" x14ac:dyDescent="0.35">
      <c r="A284" s="1279"/>
      <c r="B284" s="1279" t="s">
        <v>3913</v>
      </c>
      <c r="C284" s="1279"/>
      <c r="D284" s="1279"/>
    </row>
    <row r="285" spans="1:4" ht="12.75" customHeight="1" x14ac:dyDescent="0.35">
      <c r="A285" s="1279"/>
      <c r="B285" s="1279"/>
      <c r="C285" s="1279" t="s">
        <v>3915</v>
      </c>
      <c r="D285" s="1279"/>
    </row>
    <row r="286" spans="1:4" ht="12.75" customHeight="1" x14ac:dyDescent="0.35">
      <c r="A286" s="1279"/>
      <c r="B286" s="1279"/>
      <c r="C286" s="1279"/>
      <c r="D286" s="1279"/>
    </row>
    <row r="287" spans="1:4" ht="12.75" customHeight="1" x14ac:dyDescent="0.35">
      <c r="A287" s="1279"/>
      <c r="B287" s="1279"/>
      <c r="C287" s="1279"/>
      <c r="D287" s="1279"/>
    </row>
    <row r="288" spans="1:4" ht="12.75" customHeight="1" x14ac:dyDescent="0.35">
      <c r="A288" s="1279"/>
      <c r="B288" s="1279"/>
      <c r="C288" s="1279"/>
      <c r="D288" s="1279"/>
    </row>
    <row r="289" spans="1:4" ht="12.75" customHeight="1" x14ac:dyDescent="0.35">
      <c r="A289" s="1279"/>
      <c r="B289" s="1279"/>
      <c r="C289" s="1279"/>
      <c r="D289" s="1279"/>
    </row>
    <row r="290" spans="1:4" ht="12.75" customHeight="1" x14ac:dyDescent="0.35">
      <c r="A290" s="1279"/>
      <c r="B290" s="1279" t="s">
        <v>3913</v>
      </c>
      <c r="C290" s="1279"/>
      <c r="D290" s="1279"/>
    </row>
    <row r="291" spans="1:4" ht="12.75" customHeight="1" x14ac:dyDescent="0.35">
      <c r="A291" s="1279"/>
      <c r="B291" s="1279"/>
      <c r="C291" s="1279" t="s">
        <v>3914</v>
      </c>
      <c r="D291" s="1279"/>
    </row>
    <row r="292" spans="1:4" ht="12.75" customHeight="1" x14ac:dyDescent="0.35">
      <c r="A292" s="1279"/>
      <c r="B292" s="1279"/>
      <c r="C292" s="1279"/>
      <c r="D292" s="1279"/>
    </row>
    <row r="293" spans="1:4" ht="12.75" customHeight="1" x14ac:dyDescent="0.35">
      <c r="A293" s="1279"/>
      <c r="B293" s="1279"/>
      <c r="C293" s="1279"/>
      <c r="D293" s="1279"/>
    </row>
    <row r="294" spans="1:4" ht="12.75" customHeight="1" x14ac:dyDescent="0.35">
      <c r="A294" s="1279"/>
      <c r="B294" s="1279" t="s">
        <v>3913</v>
      </c>
      <c r="C294" s="1279"/>
      <c r="D294" s="1279"/>
    </row>
    <row r="295" spans="1:4" ht="12.75" customHeight="1" x14ac:dyDescent="0.35">
      <c r="A295" s="1279"/>
      <c r="B295" s="1279"/>
      <c r="C295" s="1279" t="s">
        <v>3915</v>
      </c>
      <c r="D295" s="1279"/>
    </row>
    <row r="296" spans="1:4" ht="12.75" customHeight="1" x14ac:dyDescent="0.35">
      <c r="A296" s="1279"/>
      <c r="B296" s="1279"/>
      <c r="C296" s="1279"/>
      <c r="D296" s="1279"/>
    </row>
    <row r="297" spans="1:4" ht="12.75" customHeight="1" x14ac:dyDescent="0.35">
      <c r="A297" s="1279"/>
      <c r="B297" s="1279"/>
      <c r="C297" s="1279"/>
      <c r="D297" s="1279"/>
    </row>
    <row r="298" spans="1:4" ht="12.75" customHeight="1" x14ac:dyDescent="0.35">
      <c r="A298" s="1279"/>
      <c r="B298" s="1279"/>
      <c r="C298" s="1279"/>
      <c r="D298" s="1279"/>
    </row>
    <row r="299" spans="1:4" ht="12.75" customHeight="1" x14ac:dyDescent="0.35">
      <c r="A299" s="1279"/>
      <c r="B299" s="1279"/>
      <c r="C299" s="1279"/>
      <c r="D299" s="1279"/>
    </row>
    <row r="300" spans="1:4" ht="12.75" customHeight="1" x14ac:dyDescent="0.35">
      <c r="A300" s="1279"/>
      <c r="B300" s="1279" t="s">
        <v>3913</v>
      </c>
      <c r="C300" s="1279"/>
      <c r="D300" s="1279"/>
    </row>
    <row r="301" spans="1:4" ht="12.75" customHeight="1" x14ac:dyDescent="0.35">
      <c r="A301" s="1279"/>
      <c r="B301" s="1279"/>
      <c r="C301" s="1279" t="s">
        <v>3914</v>
      </c>
      <c r="D301" s="1279"/>
    </row>
    <row r="302" spans="1:4" ht="12.75" customHeight="1" x14ac:dyDescent="0.35">
      <c r="A302" s="1279"/>
      <c r="B302" s="1279"/>
      <c r="C302" s="1279"/>
      <c r="D302" s="1279"/>
    </row>
    <row r="303" spans="1:4" ht="12.75" customHeight="1" x14ac:dyDescent="0.35">
      <c r="A303" s="1279"/>
      <c r="B303" s="1279"/>
      <c r="C303" s="1279"/>
      <c r="D303" s="1279"/>
    </row>
    <row r="304" spans="1:4" ht="12.75" customHeight="1" x14ac:dyDescent="0.35">
      <c r="A304" s="1279"/>
      <c r="B304" s="1279" t="s">
        <v>3913</v>
      </c>
      <c r="C304" s="1279"/>
      <c r="D304" s="1279"/>
    </row>
    <row r="305" spans="1:4" ht="12.75" customHeight="1" x14ac:dyDescent="0.35">
      <c r="A305" s="1279"/>
      <c r="B305" s="1279"/>
      <c r="C305" s="1279" t="s">
        <v>3915</v>
      </c>
      <c r="D305" s="1279"/>
    </row>
    <row r="306" spans="1:4" ht="12.75" customHeight="1" x14ac:dyDescent="0.35">
      <c r="A306" s="1279"/>
      <c r="B306" s="1279"/>
      <c r="C306" s="1279"/>
      <c r="D306" s="1279"/>
    </row>
    <row r="307" spans="1:4" ht="12.75" customHeight="1" x14ac:dyDescent="0.35">
      <c r="A307" s="1279"/>
      <c r="B307" s="1279"/>
      <c r="C307" s="1279"/>
      <c r="D307" s="1279"/>
    </row>
    <row r="308" spans="1:4" ht="12.75" customHeight="1" x14ac:dyDescent="0.35">
      <c r="A308" s="1279"/>
      <c r="B308" s="1279"/>
      <c r="C308" s="1279"/>
      <c r="D308" s="1279"/>
    </row>
    <row r="309" spans="1:4" ht="12.75" customHeight="1" x14ac:dyDescent="0.35">
      <c r="A309" s="1279"/>
      <c r="B309" s="1279"/>
      <c r="C309" s="1279"/>
      <c r="D309" s="1279"/>
    </row>
    <row r="310" spans="1:4" ht="12.75" customHeight="1" x14ac:dyDescent="0.35">
      <c r="A310" s="1279"/>
      <c r="B310" s="1279" t="s">
        <v>3913</v>
      </c>
      <c r="C310" s="1279"/>
      <c r="D310" s="1279"/>
    </row>
    <row r="311" spans="1:4" ht="12.75" customHeight="1" x14ac:dyDescent="0.35">
      <c r="A311" s="1279"/>
      <c r="B311" s="1279"/>
      <c r="C311" s="1279" t="s">
        <v>3914</v>
      </c>
      <c r="D311" s="1279"/>
    </row>
    <row r="312" spans="1:4" ht="12.75" customHeight="1" x14ac:dyDescent="0.35">
      <c r="A312" s="1279"/>
      <c r="B312" s="1279"/>
      <c r="C312" s="1279"/>
      <c r="D312" s="1279"/>
    </row>
    <row r="313" spans="1:4" ht="12.75" customHeight="1" x14ac:dyDescent="0.35">
      <c r="A313" s="1279"/>
      <c r="B313" s="1279"/>
      <c r="C313" s="1279"/>
      <c r="D313" s="1279"/>
    </row>
    <row r="314" spans="1:4" ht="12.75" customHeight="1" x14ac:dyDescent="0.35">
      <c r="A314" s="1279"/>
      <c r="B314" s="1279" t="s">
        <v>3913</v>
      </c>
      <c r="C314" s="1279"/>
      <c r="D314" s="1279"/>
    </row>
    <row r="315" spans="1:4" ht="12.75" customHeight="1" x14ac:dyDescent="0.35">
      <c r="A315" s="1279"/>
      <c r="B315" s="1279"/>
      <c r="C315" s="1279" t="s">
        <v>3915</v>
      </c>
      <c r="D315" s="1279"/>
    </row>
    <row r="316" spans="1:4" ht="12.75" customHeight="1" x14ac:dyDescent="0.35">
      <c r="A316" s="1279"/>
      <c r="B316" s="1279"/>
      <c r="C316" s="1279"/>
      <c r="D316" s="1279"/>
    </row>
    <row r="317" spans="1:4" ht="12.75" customHeight="1" x14ac:dyDescent="0.35">
      <c r="A317" s="1279"/>
      <c r="B317" s="1279"/>
      <c r="C317" s="1279"/>
      <c r="D317" s="1279"/>
    </row>
    <row r="318" spans="1:4" ht="12.75" customHeight="1" x14ac:dyDescent="0.35">
      <c r="A318" s="1279"/>
      <c r="B318" s="1279" t="s">
        <v>3916</v>
      </c>
      <c r="C318" s="1279"/>
      <c r="D318" s="1279"/>
    </row>
    <row r="319" spans="1:4" ht="12.75" customHeight="1" x14ac:dyDescent="0.35">
      <c r="A319" s="1279"/>
      <c r="B319" s="1279" t="s">
        <v>3917</v>
      </c>
      <c r="C319" s="1279"/>
      <c r="D319" s="1279"/>
    </row>
    <row r="320" spans="1:4" ht="12.75" customHeight="1" x14ac:dyDescent="0.35">
      <c r="A320" s="1279"/>
      <c r="B320" s="1279" t="s">
        <v>2539</v>
      </c>
      <c r="C320" s="1279"/>
      <c r="D320" s="1279"/>
    </row>
    <row r="321" spans="1:4" ht="12.75" customHeight="1" x14ac:dyDescent="0.35">
      <c r="A321" s="1279"/>
      <c r="B321" s="1279" t="s">
        <v>3918</v>
      </c>
      <c r="C321" s="1279"/>
      <c r="D321" s="1279"/>
    </row>
    <row r="322" spans="1:4" ht="12.75" customHeight="1" x14ac:dyDescent="0.35">
      <c r="A322" s="1279"/>
      <c r="B322" s="1279" t="s">
        <v>3914</v>
      </c>
      <c r="C322" s="1279"/>
      <c r="D322" s="1279"/>
    </row>
    <row r="323" spans="1:4" ht="12.75" customHeight="1" x14ac:dyDescent="0.35">
      <c r="A323" s="1279"/>
      <c r="B323" s="1279" t="s">
        <v>3919</v>
      </c>
      <c r="C323" s="1279"/>
      <c r="D323" s="1279"/>
    </row>
    <row r="324" spans="1:4" ht="12.75" customHeight="1" x14ac:dyDescent="0.35">
      <c r="A324" s="1279"/>
      <c r="B324" s="1279" t="s">
        <v>3920</v>
      </c>
      <c r="C324" s="1279"/>
      <c r="D324" s="1279"/>
    </row>
    <row r="325" spans="1:4" ht="12.75" customHeight="1" x14ac:dyDescent="0.35">
      <c r="A325" s="1279"/>
      <c r="B325" s="1279" t="s">
        <v>3911</v>
      </c>
      <c r="C325" s="1279"/>
      <c r="D325" s="1279"/>
    </row>
    <row r="326" spans="1:4" ht="12.75" customHeight="1" x14ac:dyDescent="0.35">
      <c r="A326" s="1279"/>
      <c r="B326" s="1279" t="s">
        <v>3918</v>
      </c>
      <c r="C326" s="1279"/>
      <c r="D326" s="1279"/>
    </row>
    <row r="327" spans="1:4" ht="12.75" customHeight="1" x14ac:dyDescent="0.35">
      <c r="A327" s="1279"/>
      <c r="B327" s="1279" t="s">
        <v>3915</v>
      </c>
      <c r="C327" s="1279"/>
      <c r="D327" s="1279"/>
    </row>
    <row r="328" spans="1:4" ht="12.75" customHeight="1" x14ac:dyDescent="0.35">
      <c r="A328" s="1279"/>
      <c r="B328" s="1279"/>
      <c r="C328" s="1279"/>
      <c r="D328" s="1279"/>
    </row>
    <row r="329" spans="1:4" ht="12.75" customHeight="1" x14ac:dyDescent="0.35">
      <c r="A329" s="1279"/>
      <c r="B329" s="1279" t="s">
        <v>3921</v>
      </c>
      <c r="C329" s="1279"/>
      <c r="D329" s="1279"/>
    </row>
    <row r="330" spans="1:4" ht="12.75" customHeight="1" x14ac:dyDescent="0.35">
      <c r="A330" s="1279"/>
      <c r="B330" s="1279" t="s">
        <v>3922</v>
      </c>
      <c r="C330" s="1279"/>
      <c r="D330" s="1279"/>
    </row>
    <row r="331" spans="1:4" ht="12.75" customHeight="1" x14ac:dyDescent="0.35">
      <c r="A331" s="1279"/>
      <c r="B331" s="1279" t="s">
        <v>3923</v>
      </c>
      <c r="C331" s="1279"/>
      <c r="D331" s="1279"/>
    </row>
    <row r="332" spans="1:4" ht="12.75" customHeight="1" x14ac:dyDescent="0.35">
      <c r="A332" s="1279"/>
      <c r="B332" s="1279" t="s">
        <v>3924</v>
      </c>
      <c r="C332" s="1279"/>
      <c r="D332" s="1279"/>
    </row>
    <row r="333" spans="1:4" ht="12.75" customHeight="1" x14ac:dyDescent="0.35">
      <c r="A333" s="1279"/>
      <c r="B333" s="1279" t="s">
        <v>3925</v>
      </c>
      <c r="C333" s="1279"/>
      <c r="D333" s="1279"/>
    </row>
    <row r="334" spans="1:4" ht="12.75" customHeight="1" x14ac:dyDescent="0.35">
      <c r="A334" s="1279"/>
      <c r="B334" s="1279"/>
      <c r="C334" s="1279"/>
      <c r="D334" s="1279"/>
    </row>
    <row r="335" spans="1:4" ht="12.75" customHeight="1" x14ac:dyDescent="0.35">
      <c r="A335" s="1279"/>
      <c r="B335" s="1279" t="s">
        <v>3926</v>
      </c>
      <c r="C335" s="1279"/>
      <c r="D335" s="1279" t="s">
        <v>3927</v>
      </c>
    </row>
    <row r="336" spans="1:4" ht="12.75" customHeight="1" x14ac:dyDescent="0.35">
      <c r="A336" s="1279"/>
      <c r="B336" s="1279" t="s">
        <v>3928</v>
      </c>
      <c r="C336" s="1279"/>
      <c r="D336" s="1279"/>
    </row>
    <row r="337" spans="1:4" ht="12.75" customHeight="1" x14ac:dyDescent="0.35">
      <c r="A337" s="1279"/>
      <c r="B337" s="1279" t="s">
        <v>3929</v>
      </c>
      <c r="C337" s="1279"/>
      <c r="D337" s="1279"/>
    </row>
    <row r="338" spans="1:4" ht="12.75" customHeight="1" x14ac:dyDescent="0.35">
      <c r="A338" s="1279"/>
      <c r="B338" s="1279" t="s">
        <v>3930</v>
      </c>
      <c r="C338" s="1279"/>
      <c r="D338" s="1279"/>
    </row>
    <row r="339" spans="1:4" ht="12.75" customHeight="1" x14ac:dyDescent="0.35">
      <c r="A339" s="1279"/>
      <c r="B339" s="1279" t="s">
        <v>3931</v>
      </c>
      <c r="C339" s="1279"/>
      <c r="D339" s="1279"/>
    </row>
    <row r="340" spans="1:4" ht="12.75" customHeight="1" x14ac:dyDescent="0.35">
      <c r="A340" s="1279"/>
      <c r="B340" s="1279" t="s">
        <v>3932</v>
      </c>
      <c r="C340" s="1279"/>
      <c r="D340" s="1279"/>
    </row>
    <row r="341" spans="1:4" ht="12.75" customHeight="1" x14ac:dyDescent="0.35">
      <c r="A341" s="1279"/>
      <c r="B341" s="1279" t="s">
        <v>3933</v>
      </c>
      <c r="C341" s="1279"/>
      <c r="D341" s="1279"/>
    </row>
    <row r="342" spans="1:4" ht="12.75" customHeight="1" x14ac:dyDescent="0.35">
      <c r="A342" s="1279"/>
      <c r="B342" s="1279" t="s">
        <v>3934</v>
      </c>
      <c r="C342" s="1279"/>
      <c r="D342" s="1279"/>
    </row>
    <row r="343" spans="1:4" ht="12.75" customHeight="1" x14ac:dyDescent="0.35">
      <c r="A343" s="1279"/>
      <c r="B343" s="1279" t="s">
        <v>3935</v>
      </c>
      <c r="C343" s="1279"/>
      <c r="D343" s="1279"/>
    </row>
    <row r="344" spans="1:4" ht="12.75" customHeight="1" x14ac:dyDescent="0.35">
      <c r="A344" s="1279"/>
      <c r="B344" s="1279" t="s">
        <v>3936</v>
      </c>
      <c r="C344" s="1279"/>
      <c r="D344" s="1279"/>
    </row>
    <row r="345" spans="1:4" ht="12.75" customHeight="1" x14ac:dyDescent="0.35">
      <c r="A345" s="1279"/>
      <c r="B345" s="1279" t="s">
        <v>3937</v>
      </c>
      <c r="C345" s="1279"/>
      <c r="D345" s="1279"/>
    </row>
    <row r="346" spans="1:4" ht="12.75" customHeight="1" x14ac:dyDescent="0.35">
      <c r="A346" s="1279"/>
      <c r="B346" s="1279" t="s">
        <v>3938</v>
      </c>
      <c r="C346" s="1279"/>
      <c r="D346" s="1279"/>
    </row>
    <row r="347" spans="1:4" ht="12.75" customHeight="1" x14ac:dyDescent="0.35">
      <c r="A347" s="1279"/>
      <c r="B347" s="1279"/>
      <c r="C347" s="1279" t="s">
        <v>3939</v>
      </c>
      <c r="D347" s="1279"/>
    </row>
    <row r="348" spans="1:4" ht="12.75" customHeight="1" x14ac:dyDescent="0.35">
      <c r="A348" s="1279"/>
      <c r="B348" s="1279"/>
      <c r="C348" s="1279"/>
      <c r="D348" s="1279"/>
    </row>
    <row r="349" spans="1:4" ht="12.75" customHeight="1" x14ac:dyDescent="0.35">
      <c r="A349" s="1279"/>
      <c r="B349" s="1279"/>
      <c r="C349" s="1279" t="s">
        <v>3940</v>
      </c>
      <c r="D349" s="1279"/>
    </row>
    <row r="350" spans="1:4" ht="12.75" customHeight="1" x14ac:dyDescent="0.35">
      <c r="A350" s="1279"/>
      <c r="B350" s="1279"/>
      <c r="C350" s="1279" t="s">
        <v>2539</v>
      </c>
      <c r="D350" s="1279"/>
    </row>
    <row r="351" spans="1:4" ht="12.75" customHeight="1" x14ac:dyDescent="0.35">
      <c r="A351" s="1279"/>
      <c r="B351" s="1279"/>
      <c r="C351" s="1279" t="s">
        <v>3941</v>
      </c>
      <c r="D351" s="1279"/>
    </row>
    <row r="352" spans="1:4" ht="12.75" customHeight="1" x14ac:dyDescent="0.35">
      <c r="A352" s="1279"/>
      <c r="B352" s="1279"/>
      <c r="C352" s="1279"/>
      <c r="D352" s="1279"/>
    </row>
    <row r="353" spans="1:4" ht="12.75" customHeight="1" x14ac:dyDescent="0.35">
      <c r="A353" s="1279"/>
      <c r="B353" s="1279"/>
      <c r="C353" s="1279"/>
      <c r="D353" s="1279"/>
    </row>
    <row r="354" spans="1:4" ht="12.75" customHeight="1" x14ac:dyDescent="0.35">
      <c r="A354" s="1279"/>
      <c r="B354" s="1279"/>
      <c r="C354" s="1279"/>
      <c r="D354" s="1279"/>
    </row>
    <row r="355" spans="1:4" ht="12.75" customHeight="1" x14ac:dyDescent="0.35">
      <c r="A355" s="1279"/>
      <c r="B355" s="1279"/>
      <c r="C355" s="1279"/>
      <c r="D355" s="1279"/>
    </row>
    <row r="356" spans="1:4" ht="12.75" customHeight="1" x14ac:dyDescent="0.35">
      <c r="A356" s="1279"/>
      <c r="B356" s="1279"/>
      <c r="C356" s="1279"/>
      <c r="D356" s="1279"/>
    </row>
    <row r="357" spans="1:4" ht="12.75" customHeight="1" x14ac:dyDescent="0.35">
      <c r="A357" s="1279"/>
      <c r="B357" s="1279"/>
      <c r="C357" s="1279"/>
      <c r="D357" s="1279"/>
    </row>
    <row r="358" spans="1:4" ht="12.75" customHeight="1" x14ac:dyDescent="0.35">
      <c r="A358" s="1279"/>
      <c r="B358" s="1279"/>
      <c r="C358" s="1279"/>
      <c r="D358" s="1279"/>
    </row>
    <row r="359" spans="1:4" ht="12.75" customHeight="1" x14ac:dyDescent="0.35">
      <c r="A359" s="1279"/>
      <c r="B359" s="1279"/>
      <c r="C359" s="1279"/>
      <c r="D359" s="1279"/>
    </row>
    <row r="360" spans="1:4" ht="12.75" customHeight="1" x14ac:dyDescent="0.35">
      <c r="A360" s="1279"/>
      <c r="B360" s="1279"/>
      <c r="C360" s="1279"/>
      <c r="D360" s="1279"/>
    </row>
    <row r="361" spans="1:4" ht="12.75" customHeight="1" x14ac:dyDescent="0.35">
      <c r="A361" s="1279"/>
      <c r="B361" s="1279"/>
      <c r="C361" s="1279"/>
      <c r="D361" s="1279"/>
    </row>
    <row r="362" spans="1:4" ht="12.75" customHeight="1" x14ac:dyDescent="0.35">
      <c r="A362" s="1279"/>
      <c r="B362" s="1279"/>
      <c r="C362" s="1279"/>
      <c r="D362" s="1279"/>
    </row>
    <row r="363" spans="1:4" ht="12.75" customHeight="1" x14ac:dyDescent="0.35">
      <c r="A363" s="1279"/>
      <c r="B363" s="1279"/>
      <c r="C363" s="1279"/>
      <c r="D363" s="1279"/>
    </row>
    <row r="364" spans="1:4" ht="12.75" customHeight="1" x14ac:dyDescent="0.35">
      <c r="A364" s="1279"/>
      <c r="B364" s="1279"/>
      <c r="C364" s="1279"/>
      <c r="D364" s="1279"/>
    </row>
    <row r="365" spans="1:4" ht="12.75" customHeight="1" x14ac:dyDescent="0.35">
      <c r="A365" s="1279"/>
      <c r="B365" s="1279"/>
      <c r="C365" s="1279"/>
      <c r="D365" s="1279"/>
    </row>
    <row r="366" spans="1:4" ht="12.75" customHeight="1" x14ac:dyDescent="0.35">
      <c r="A366" s="1279"/>
      <c r="B366" s="1279"/>
      <c r="C366" s="1279"/>
      <c r="D366" s="1279"/>
    </row>
    <row r="367" spans="1:4" ht="12.75" customHeight="1" x14ac:dyDescent="0.35">
      <c r="A367" s="1279"/>
      <c r="B367" s="1279"/>
      <c r="C367" s="1279"/>
      <c r="D367" s="1279"/>
    </row>
    <row r="368" spans="1:4" ht="12.75" customHeight="1" x14ac:dyDescent="0.35">
      <c r="A368" s="1279"/>
      <c r="B368" s="1279"/>
      <c r="C368" s="1279"/>
      <c r="D368" s="1279"/>
    </row>
    <row r="369" spans="1:4" ht="12.75" customHeight="1" x14ac:dyDescent="0.35">
      <c r="A369" s="1279"/>
      <c r="B369" s="1279"/>
      <c r="C369" s="1279"/>
      <c r="D369" s="1279"/>
    </row>
    <row r="370" spans="1:4" ht="12.75" customHeight="1" x14ac:dyDescent="0.35">
      <c r="A370" s="1279"/>
      <c r="B370" s="1279"/>
      <c r="C370" s="1279"/>
      <c r="D370" s="1279"/>
    </row>
    <row r="371" spans="1:4" ht="12.75" customHeight="1" x14ac:dyDescent="0.35">
      <c r="A371" s="1279"/>
      <c r="B371" s="1279"/>
      <c r="C371" s="1279"/>
      <c r="D371" s="1279"/>
    </row>
    <row r="372" spans="1:4" ht="12.75" customHeight="1" x14ac:dyDescent="0.35">
      <c r="A372" s="1279"/>
      <c r="B372" s="1279"/>
      <c r="C372" s="1279"/>
      <c r="D372" s="1279"/>
    </row>
    <row r="373" spans="1:4" ht="12.75" customHeight="1" x14ac:dyDescent="0.35">
      <c r="A373" s="1279"/>
      <c r="B373" s="1279"/>
      <c r="C373" s="1279"/>
      <c r="D373" s="1279"/>
    </row>
    <row r="374" spans="1:4" ht="12.75" customHeight="1" x14ac:dyDescent="0.35">
      <c r="A374" s="1279"/>
      <c r="B374" s="1279"/>
      <c r="C374" s="1279"/>
      <c r="D374" s="1279"/>
    </row>
    <row r="375" spans="1:4" ht="12.75" customHeight="1" x14ac:dyDescent="0.35">
      <c r="A375" s="1279"/>
      <c r="B375" s="1279"/>
      <c r="C375" s="1279"/>
      <c r="D375" s="1279"/>
    </row>
    <row r="376" spans="1:4" ht="12.75" customHeight="1" x14ac:dyDescent="0.35">
      <c r="A376" s="1279"/>
      <c r="B376" s="1279"/>
      <c r="C376" s="1279"/>
      <c r="D376" s="1279"/>
    </row>
    <row r="377" spans="1:4" ht="12.75" customHeight="1" x14ac:dyDescent="0.35">
      <c r="A377" s="1279"/>
      <c r="B377" s="1279"/>
      <c r="C377" s="1279"/>
      <c r="D377" s="1279"/>
    </row>
    <row r="378" spans="1:4" ht="12.75" customHeight="1" x14ac:dyDescent="0.35">
      <c r="A378" s="1279"/>
      <c r="B378" s="1279"/>
      <c r="C378" s="1279"/>
      <c r="D378" s="1279"/>
    </row>
    <row r="379" spans="1:4" ht="12.75" customHeight="1" x14ac:dyDescent="0.35">
      <c r="A379" s="1279"/>
      <c r="B379" s="1279"/>
      <c r="C379" s="1279"/>
      <c r="D379" s="1279"/>
    </row>
    <row r="380" spans="1:4" ht="12.75" customHeight="1" x14ac:dyDescent="0.35">
      <c r="A380" s="1279"/>
      <c r="B380" s="1279"/>
      <c r="C380" s="1279"/>
      <c r="D380" s="1279"/>
    </row>
    <row r="381" spans="1:4" ht="12.75" customHeight="1" x14ac:dyDescent="0.35">
      <c r="A381" s="1279"/>
      <c r="B381" s="1279"/>
      <c r="C381" s="1279"/>
      <c r="D381" s="1279"/>
    </row>
    <row r="382" spans="1:4" ht="12.75" customHeight="1" x14ac:dyDescent="0.35">
      <c r="A382" s="1279"/>
      <c r="B382" s="1279"/>
      <c r="C382" s="1279"/>
      <c r="D382" s="1279"/>
    </row>
    <row r="383" spans="1:4" ht="12.75" customHeight="1" x14ac:dyDescent="0.35">
      <c r="A383" s="1279"/>
      <c r="B383" s="1279"/>
      <c r="C383" s="1279"/>
      <c r="D383" s="1279"/>
    </row>
    <row r="384" spans="1:4" ht="12.75" customHeight="1" x14ac:dyDescent="0.35">
      <c r="A384" s="1279"/>
      <c r="B384" s="1279"/>
      <c r="C384" s="1279"/>
      <c r="D384" s="1279"/>
    </row>
    <row r="385" spans="1:4" ht="12.75" customHeight="1" x14ac:dyDescent="0.35">
      <c r="A385" s="1279"/>
      <c r="B385" s="1279"/>
      <c r="C385" s="1279" t="s">
        <v>3942</v>
      </c>
      <c r="D385" s="1279"/>
    </row>
    <row r="386" spans="1:4" ht="12.75" customHeight="1" x14ac:dyDescent="0.35">
      <c r="A386" s="1279"/>
      <c r="B386" s="1279"/>
      <c r="C386" s="1279"/>
      <c r="D386" s="1279"/>
    </row>
    <row r="387" spans="1:4" ht="12.75" customHeight="1" x14ac:dyDescent="0.35">
      <c r="A387" s="1279"/>
      <c r="B387" s="1279"/>
      <c r="C387" s="1279"/>
      <c r="D387" s="1279"/>
    </row>
    <row r="388" spans="1:4" ht="12.75" customHeight="1" x14ac:dyDescent="0.35">
      <c r="A388" s="1279"/>
      <c r="B388" s="1279"/>
      <c r="C388" s="1279"/>
      <c r="D388" s="1279"/>
    </row>
    <row r="389" spans="1:4" ht="12.75" customHeight="1" x14ac:dyDescent="0.35">
      <c r="A389" s="1279"/>
      <c r="B389" s="1279"/>
      <c r="C389" s="1279"/>
      <c r="D389" s="1279"/>
    </row>
    <row r="390" spans="1:4" ht="12.75" customHeight="1" x14ac:dyDescent="0.35">
      <c r="A390" s="1279"/>
      <c r="B390" s="1279"/>
      <c r="C390" s="1279"/>
      <c r="D390" s="1279"/>
    </row>
    <row r="391" spans="1:4" ht="12.75" customHeight="1" x14ac:dyDescent="0.35">
      <c r="A391" s="1279"/>
      <c r="B391" s="1279"/>
      <c r="C391" s="1279"/>
      <c r="D391" s="1279"/>
    </row>
    <row r="392" spans="1:4" ht="12.75" customHeight="1" x14ac:dyDescent="0.35">
      <c r="A392" s="1279"/>
      <c r="B392" s="1279"/>
      <c r="C392" s="1279"/>
      <c r="D392" s="1279"/>
    </row>
    <row r="393" spans="1:4" ht="12.75" customHeight="1" x14ac:dyDescent="0.35">
      <c r="A393" s="1279"/>
      <c r="B393" s="1279"/>
      <c r="C393" s="1279"/>
      <c r="D393" s="1279"/>
    </row>
    <row r="394" spans="1:4" ht="12.75" customHeight="1" x14ac:dyDescent="0.35">
      <c r="A394" s="1279"/>
      <c r="B394" s="1279"/>
      <c r="C394" s="1279"/>
      <c r="D394" s="1279"/>
    </row>
    <row r="395" spans="1:4" ht="12.75" customHeight="1" x14ac:dyDescent="0.35">
      <c r="A395" s="1279"/>
      <c r="B395" s="1279"/>
      <c r="C395" s="1279"/>
      <c r="D395" s="1279"/>
    </row>
    <row r="396" spans="1:4" ht="12.75" customHeight="1" x14ac:dyDescent="0.35">
      <c r="A396" s="1279"/>
      <c r="B396" s="1279"/>
      <c r="C396" s="1279"/>
      <c r="D396" s="1279"/>
    </row>
    <row r="397" spans="1:4" ht="12.75" customHeight="1" x14ac:dyDescent="0.35">
      <c r="A397" s="1279"/>
      <c r="B397" s="1279"/>
      <c r="C397" s="1279"/>
      <c r="D397" s="1279"/>
    </row>
    <row r="398" spans="1:4" ht="12.75" customHeight="1" x14ac:dyDescent="0.35">
      <c r="A398" s="1279"/>
      <c r="B398" s="1279"/>
      <c r="C398" s="1279"/>
      <c r="D398" s="1279"/>
    </row>
    <row r="399" spans="1:4" ht="12.75" customHeight="1" x14ac:dyDescent="0.35">
      <c r="A399" s="1279"/>
      <c r="B399" s="1279"/>
      <c r="C399" s="1279"/>
      <c r="D399" s="1279"/>
    </row>
    <row r="400" spans="1:4" ht="12.75" customHeight="1" x14ac:dyDescent="0.35">
      <c r="A400" s="1279"/>
      <c r="B400" s="1279"/>
      <c r="C400" s="1279"/>
      <c r="D400" s="1279"/>
    </row>
    <row r="401" spans="1:4" ht="12.75" customHeight="1" x14ac:dyDescent="0.35">
      <c r="A401" s="1279"/>
      <c r="B401" s="1279"/>
      <c r="C401" s="1279"/>
      <c r="D401" s="1279"/>
    </row>
    <row r="402" spans="1:4" ht="12.75" customHeight="1" x14ac:dyDescent="0.35">
      <c r="A402" s="1279"/>
      <c r="B402" s="1279"/>
      <c r="C402" s="1279"/>
      <c r="D402" s="1279"/>
    </row>
    <row r="403" spans="1:4" ht="12.75" customHeight="1" x14ac:dyDescent="0.35">
      <c r="A403" s="1279"/>
      <c r="B403" s="1279"/>
      <c r="C403" s="1279"/>
      <c r="D403" s="1279"/>
    </row>
    <row r="404" spans="1:4" ht="12.75" customHeight="1" x14ac:dyDescent="0.35">
      <c r="A404" s="1279"/>
      <c r="B404" s="1279"/>
      <c r="C404" s="1279"/>
      <c r="D404" s="1279"/>
    </row>
    <row r="405" spans="1:4" ht="12.75" customHeight="1" x14ac:dyDescent="0.35">
      <c r="A405" s="1279"/>
      <c r="B405" s="1279"/>
      <c r="C405" s="1279"/>
      <c r="D405" s="1279"/>
    </row>
    <row r="406" spans="1:4" ht="12.75" customHeight="1" x14ac:dyDescent="0.35">
      <c r="A406" s="1279"/>
      <c r="B406" s="1279"/>
      <c r="C406" s="1279"/>
      <c r="D406" s="1279"/>
    </row>
    <row r="407" spans="1:4" ht="12.75" customHeight="1" x14ac:dyDescent="0.35">
      <c r="A407" s="1279"/>
      <c r="B407" s="1279"/>
      <c r="C407" s="1279"/>
      <c r="D407" s="1279"/>
    </row>
    <row r="408" spans="1:4" ht="12.75" customHeight="1" x14ac:dyDescent="0.35">
      <c r="A408" s="1279"/>
      <c r="B408" s="1279"/>
      <c r="C408" s="1279"/>
      <c r="D408" s="1279"/>
    </row>
    <row r="409" spans="1:4" ht="12.75" customHeight="1" x14ac:dyDescent="0.35">
      <c r="A409" s="1279"/>
      <c r="B409" s="1279"/>
      <c r="C409" s="1279"/>
      <c r="D409" s="1279"/>
    </row>
    <row r="410" spans="1:4" ht="12.75" customHeight="1" x14ac:dyDescent="0.35">
      <c r="A410" s="1279"/>
      <c r="B410" s="1279"/>
      <c r="C410" s="1279"/>
      <c r="D410" s="1279"/>
    </row>
    <row r="411" spans="1:4" ht="12.75" customHeight="1" x14ac:dyDescent="0.35">
      <c r="A411" s="1279"/>
      <c r="B411" s="1279"/>
      <c r="C411" s="1279"/>
      <c r="D411" s="1279"/>
    </row>
    <row r="412" spans="1:4" ht="12.75" customHeight="1" x14ac:dyDescent="0.35">
      <c r="A412" s="1279"/>
      <c r="B412" s="1279"/>
      <c r="C412" s="1279"/>
      <c r="D412" s="1279"/>
    </row>
    <row r="413" spans="1:4" ht="12.75" customHeight="1" x14ac:dyDescent="0.35">
      <c r="A413" s="1279"/>
      <c r="B413" s="1279"/>
      <c r="C413" s="1279"/>
      <c r="D413" s="1279"/>
    </row>
    <row r="414" spans="1:4" ht="12.75" customHeight="1" x14ac:dyDescent="0.35">
      <c r="A414" s="1279"/>
      <c r="B414" s="1279"/>
      <c r="C414" s="1279"/>
      <c r="D414" s="1279"/>
    </row>
    <row r="415" spans="1:4" ht="12.75" customHeight="1" x14ac:dyDescent="0.35">
      <c r="A415" s="1279"/>
      <c r="B415" s="1279"/>
      <c r="C415" s="1279"/>
      <c r="D415" s="1279"/>
    </row>
    <row r="416" spans="1:4" ht="12.75" customHeight="1" x14ac:dyDescent="0.35">
      <c r="A416" s="1279"/>
      <c r="B416" s="1279"/>
      <c r="C416" s="1279"/>
      <c r="D416" s="1279"/>
    </row>
    <row r="417" spans="1:4" ht="12.75" customHeight="1" x14ac:dyDescent="0.35">
      <c r="A417" s="1279"/>
      <c r="B417" s="1279"/>
      <c r="C417" s="1279"/>
      <c r="D417" s="1279"/>
    </row>
    <row r="418" spans="1:4" ht="12.75" customHeight="1" x14ac:dyDescent="0.35">
      <c r="A418" s="1279"/>
      <c r="B418" s="1279"/>
      <c r="C418" s="1279"/>
      <c r="D418" s="1279"/>
    </row>
    <row r="419" spans="1:4" ht="12.75" customHeight="1" x14ac:dyDescent="0.35">
      <c r="A419" s="1279"/>
      <c r="B419" s="1279"/>
      <c r="C419" s="1279"/>
      <c r="D419" s="1279"/>
    </row>
    <row r="420" spans="1:4" ht="12.75" customHeight="1" x14ac:dyDescent="0.35">
      <c r="A420" s="1279"/>
      <c r="B420" s="1279"/>
      <c r="C420" s="1279"/>
      <c r="D420" s="1279"/>
    </row>
    <row r="421" spans="1:4" ht="12.75" customHeight="1" x14ac:dyDescent="0.35">
      <c r="A421" s="1279"/>
      <c r="B421" s="1279"/>
      <c r="C421" s="1279"/>
      <c r="D421" s="1279"/>
    </row>
    <row r="422" spans="1:4" ht="12.75" customHeight="1" x14ac:dyDescent="0.35">
      <c r="A422" s="1279"/>
      <c r="B422" s="1279"/>
      <c r="C422" s="1279" t="s">
        <v>3943</v>
      </c>
      <c r="D422" s="1279"/>
    </row>
    <row r="423" spans="1:4" ht="12.75" customHeight="1" x14ac:dyDescent="0.35">
      <c r="A423" s="1279"/>
      <c r="B423" s="1279" t="s">
        <v>3944</v>
      </c>
      <c r="C423" s="1279"/>
      <c r="D423" s="1279"/>
    </row>
    <row r="424" spans="1:4" ht="12.75" customHeight="1" x14ac:dyDescent="0.35">
      <c r="A424" s="1279"/>
      <c r="B424" s="1279" t="s">
        <v>3945</v>
      </c>
      <c r="C424" s="1279"/>
      <c r="D424" s="1279"/>
    </row>
    <row r="425" spans="1:4" ht="12.75" customHeight="1" x14ac:dyDescent="0.35">
      <c r="A425" s="1279"/>
      <c r="B425" s="1279" t="s">
        <v>2539</v>
      </c>
      <c r="C425" s="1279"/>
      <c r="D425" s="1279"/>
    </row>
    <row r="426" spans="1:4" ht="12.75" customHeight="1" x14ac:dyDescent="0.35">
      <c r="A426" s="1279"/>
      <c r="B426" s="1279" t="s">
        <v>3946</v>
      </c>
      <c r="C426" s="1279"/>
      <c r="D426" s="1279"/>
    </row>
    <row r="427" spans="1:4" ht="12.75" customHeight="1" x14ac:dyDescent="0.35">
      <c r="A427" s="1279"/>
      <c r="B427" s="1279" t="s">
        <v>3947</v>
      </c>
      <c r="C427" s="1279"/>
      <c r="D427" s="1279"/>
    </row>
    <row r="428" spans="1:4" ht="12.75" customHeight="1" x14ac:dyDescent="0.35">
      <c r="A428" s="1279"/>
      <c r="B428" s="1279" t="s">
        <v>3948</v>
      </c>
      <c r="C428" s="1279"/>
      <c r="D428" s="1279"/>
    </row>
    <row r="429" spans="1:4" ht="12.75" customHeight="1" x14ac:dyDescent="0.35">
      <c r="A429" s="1279"/>
      <c r="B429" s="1279" t="s">
        <v>3949</v>
      </c>
      <c r="C429" s="1279"/>
      <c r="D429" s="1279"/>
    </row>
    <row r="430" spans="1:4" ht="12.75" customHeight="1" x14ac:dyDescent="0.35">
      <c r="A430" s="1279"/>
      <c r="B430" s="1279" t="s">
        <v>3950</v>
      </c>
      <c r="C430" s="1279"/>
      <c r="D430" s="1279"/>
    </row>
    <row r="431" spans="1:4" ht="12.75" customHeight="1" x14ac:dyDescent="0.35">
      <c r="A431" s="1279"/>
      <c r="B431" s="1279" t="s">
        <v>3951</v>
      </c>
      <c r="C431" s="1279"/>
      <c r="D431" s="1279"/>
    </row>
    <row r="432" spans="1:4" ht="12.75" customHeight="1" x14ac:dyDescent="0.35">
      <c r="A432" s="1279"/>
      <c r="B432" s="1279" t="s">
        <v>3952</v>
      </c>
      <c r="C432" s="1279"/>
      <c r="D432" s="1279"/>
    </row>
    <row r="433" spans="1:4" ht="12.75" customHeight="1" x14ac:dyDescent="0.35">
      <c r="A433" s="1279"/>
      <c r="B433" s="1279"/>
      <c r="C433" s="1279"/>
      <c r="D433" s="1279"/>
    </row>
    <row r="434" spans="1:4" ht="12.75" customHeight="1" x14ac:dyDescent="0.35">
      <c r="A434" s="1279"/>
      <c r="B434" s="1279"/>
      <c r="C434" s="1279"/>
      <c r="D434" s="1279"/>
    </row>
    <row r="435" spans="1:4" ht="12.75" customHeight="1" x14ac:dyDescent="0.35">
      <c r="A435" s="1279"/>
      <c r="B435" s="1279"/>
      <c r="C435" s="1279"/>
      <c r="D435" s="1279"/>
    </row>
    <row r="436" spans="1:4" ht="12.75" customHeight="1" x14ac:dyDescent="0.35">
      <c r="A436" s="1279"/>
      <c r="B436" s="1279"/>
      <c r="C436" s="1279"/>
      <c r="D436" s="1279"/>
    </row>
    <row r="437" spans="1:4" ht="12.75" customHeight="1" x14ac:dyDescent="0.35">
      <c r="A437" s="1279"/>
      <c r="B437" s="1279"/>
      <c r="C437" s="1279"/>
      <c r="D437" s="1279"/>
    </row>
    <row r="438" spans="1:4" ht="12.75" customHeight="1" x14ac:dyDescent="0.35">
      <c r="A438" s="1279"/>
      <c r="B438" s="1279"/>
      <c r="C438" s="1279"/>
      <c r="D438" s="1279"/>
    </row>
    <row r="439" spans="1:4" ht="12.75" customHeight="1" x14ac:dyDescent="0.35">
      <c r="A439" s="1279"/>
      <c r="B439" s="1279" t="s">
        <v>3953</v>
      </c>
      <c r="C439" s="1279"/>
      <c r="D439" s="1279"/>
    </row>
    <row r="440" spans="1:4" ht="12.75" customHeight="1" x14ac:dyDescent="0.35">
      <c r="A440" s="1279"/>
      <c r="B440" s="1279"/>
      <c r="C440" s="1279"/>
      <c r="D440" s="1279"/>
    </row>
    <row r="441" spans="1:4" ht="12.75" customHeight="1" x14ac:dyDescent="0.35">
      <c r="A441" s="1279"/>
      <c r="B441" s="1279" t="s">
        <v>3908</v>
      </c>
      <c r="C441" s="1279"/>
      <c r="D441" s="1279"/>
    </row>
    <row r="442" spans="1:4" ht="12.75" customHeight="1" x14ac:dyDescent="0.35">
      <c r="A442" s="1279"/>
      <c r="B442" s="1279" t="s">
        <v>3954</v>
      </c>
      <c r="C442" s="1279"/>
      <c r="D442" s="1279"/>
    </row>
    <row r="443" spans="1:4" ht="12.75" customHeight="1" x14ac:dyDescent="0.35">
      <c r="A443" s="1279"/>
      <c r="B443" s="1279"/>
      <c r="C443" s="1389" t="s">
        <v>5023</v>
      </c>
      <c r="D443" s="1279"/>
    </row>
    <row r="444" spans="1:4" ht="12.75" customHeight="1" x14ac:dyDescent="0.35">
      <c r="A444" s="1279"/>
      <c r="B444" s="1279"/>
      <c r="C444" s="1389" t="s">
        <v>6364</v>
      </c>
      <c r="D444" s="1279"/>
    </row>
    <row r="445" spans="1:4" ht="12.75" customHeight="1" x14ac:dyDescent="0.35">
      <c r="A445" s="1279"/>
      <c r="B445" s="1279"/>
      <c r="C445" s="1389" t="s">
        <v>6365</v>
      </c>
      <c r="D445" s="1279"/>
    </row>
    <row r="446" spans="1:4" ht="12.75" customHeight="1" x14ac:dyDescent="0.35">
      <c r="A446" s="1279"/>
      <c r="B446" s="1279"/>
      <c r="C446" s="1389" t="s">
        <v>6366</v>
      </c>
      <c r="D446" s="1279"/>
    </row>
    <row r="447" spans="1:4" ht="12.75" customHeight="1" x14ac:dyDescent="0.35">
      <c r="A447" s="1279"/>
      <c r="B447" s="1279"/>
      <c r="C447" s="1279"/>
      <c r="D447" s="1279"/>
    </row>
    <row r="448" spans="1:4" ht="12.75" customHeight="1" x14ac:dyDescent="0.35">
      <c r="A448" s="1279"/>
      <c r="B448" s="1279"/>
      <c r="C448" s="1279"/>
      <c r="D448" s="1279"/>
    </row>
    <row r="449" spans="1:4" ht="12.75" customHeight="1" x14ac:dyDescent="0.35">
      <c r="A449" s="1279"/>
      <c r="B449" s="1279"/>
      <c r="C449" s="1279"/>
      <c r="D449" s="1279"/>
    </row>
    <row r="450" spans="1:4" ht="12.75" customHeight="1" x14ac:dyDescent="0.35">
      <c r="A450" s="1279"/>
      <c r="B450" s="1279"/>
      <c r="C450" s="1279"/>
      <c r="D450" s="1279"/>
    </row>
    <row r="451" spans="1:4" ht="12.75" customHeight="1" x14ac:dyDescent="0.35">
      <c r="A451" s="1279"/>
      <c r="B451" s="1279"/>
      <c r="C451" s="1279"/>
      <c r="D451" s="1279"/>
    </row>
    <row r="452" spans="1:4" ht="12.75" customHeight="1" x14ac:dyDescent="0.35">
      <c r="A452" s="1279"/>
      <c r="B452" s="1279"/>
      <c r="C452" s="1279"/>
      <c r="D452" s="1279"/>
    </row>
    <row r="453" spans="1:4" ht="12.75" customHeight="1" x14ac:dyDescent="0.35">
      <c r="A453" s="1279"/>
      <c r="B453" s="1279"/>
      <c r="C453" s="1279"/>
      <c r="D453" s="1279"/>
    </row>
    <row r="454" spans="1:4" ht="12.75" customHeight="1" x14ac:dyDescent="0.35">
      <c r="A454" s="1279"/>
      <c r="B454" s="1279"/>
      <c r="C454" s="1279"/>
      <c r="D454" s="1279"/>
    </row>
    <row r="455" spans="1:4" ht="12.75" customHeight="1" x14ac:dyDescent="0.35">
      <c r="A455" s="1279"/>
      <c r="B455" s="1279"/>
      <c r="C455" s="1279"/>
      <c r="D455" s="1279"/>
    </row>
    <row r="456" spans="1:4" ht="12.75" customHeight="1" x14ac:dyDescent="0.35">
      <c r="A456" s="1279"/>
      <c r="B456" s="1279" t="s">
        <v>3955</v>
      </c>
      <c r="C456" s="1279"/>
      <c r="D456" s="1279"/>
    </row>
    <row r="457" spans="1:4" ht="12.75" customHeight="1" x14ac:dyDescent="0.35">
      <c r="A457" s="1279"/>
      <c r="B457" s="1279" t="s">
        <v>3956</v>
      </c>
      <c r="C457" s="1279"/>
      <c r="D457" s="1279"/>
    </row>
    <row r="458" spans="1:4" ht="12.75" customHeight="1" x14ac:dyDescent="0.35">
      <c r="A458" s="1279"/>
      <c r="B458" s="1279" t="str">
        <f>IF(PrintMode=0,"      ","")&amp;"Прочий операционный доход"</f>
        <v xml:space="preserve">      Прочий операционный доход</v>
      </c>
      <c r="C458" s="1279"/>
      <c r="D458" s="1279"/>
    </row>
    <row r="459" spans="1:4" ht="12.75" customHeight="1" x14ac:dyDescent="0.35">
      <c r="A459" s="1279"/>
      <c r="B459" s="1279" t="s">
        <v>3957</v>
      </c>
      <c r="C459" s="1279"/>
      <c r="D459" s="1279"/>
    </row>
    <row r="460" spans="1:4" ht="12.75" customHeight="1" x14ac:dyDescent="0.35">
      <c r="A460" s="1279"/>
      <c r="B460" s="1279"/>
      <c r="C460" s="1279" t="s">
        <v>3958</v>
      </c>
      <c r="D460" s="1279"/>
    </row>
    <row r="461" spans="1:4" ht="12.75" customHeight="1" x14ac:dyDescent="0.35">
      <c r="A461" s="1279"/>
      <c r="B461" s="1279"/>
      <c r="C461" s="1389" t="s">
        <v>6367</v>
      </c>
      <c r="D461" s="1279"/>
    </row>
    <row r="462" spans="1:4" ht="12.75" customHeight="1" x14ac:dyDescent="0.35">
      <c r="A462" s="1279"/>
      <c r="B462" s="1279"/>
      <c r="C462" s="1389" t="s">
        <v>6368</v>
      </c>
      <c r="D462" s="1279"/>
    </row>
    <row r="463" spans="1:4" ht="12.75" customHeight="1" x14ac:dyDescent="0.35">
      <c r="A463" s="1279"/>
      <c r="B463" s="1279"/>
      <c r="C463" s="1279" t="s">
        <v>3959</v>
      </c>
      <c r="D463" s="1279"/>
    </row>
    <row r="464" spans="1:4" ht="12.75" customHeight="1" x14ac:dyDescent="0.35">
      <c r="A464" s="1279"/>
      <c r="B464" s="1279"/>
      <c r="C464" s="1279" t="s">
        <v>3960</v>
      </c>
      <c r="D464" s="1279"/>
    </row>
    <row r="465" spans="1:4" ht="12.75" customHeight="1" x14ac:dyDescent="0.35">
      <c r="A465" s="1279"/>
      <c r="B465" s="1279"/>
      <c r="C465" s="1279" t="s">
        <v>3961</v>
      </c>
      <c r="D465" s="1279"/>
    </row>
    <row r="466" spans="1:4" ht="12.75" customHeight="1" x14ac:dyDescent="0.35">
      <c r="A466" s="1279"/>
      <c r="B466" s="1279"/>
      <c r="C466" s="1279"/>
      <c r="D466" s="1279"/>
    </row>
    <row r="467" spans="1:4" ht="12.75" customHeight="1" x14ac:dyDescent="0.35">
      <c r="A467" s="1279"/>
      <c r="B467" s="1279"/>
      <c r="C467" s="1279"/>
      <c r="D467" s="1279"/>
    </row>
    <row r="468" spans="1:4" ht="12.75" customHeight="1" x14ac:dyDescent="0.35">
      <c r="A468" s="1279"/>
      <c r="B468" s="1279"/>
      <c r="C468" s="1279"/>
      <c r="D468" s="1279"/>
    </row>
    <row r="469" spans="1:4" ht="12.75" customHeight="1" x14ac:dyDescent="0.35">
      <c r="A469" s="1279"/>
      <c r="B469" s="1279"/>
      <c r="C469" s="1279"/>
      <c r="D469" s="1279"/>
    </row>
    <row r="470" spans="1:4" ht="12.75" customHeight="1" x14ac:dyDescent="0.35">
      <c r="A470" s="1279"/>
      <c r="B470" s="1279"/>
      <c r="C470" s="1279"/>
      <c r="D470" s="1279"/>
    </row>
    <row r="471" spans="1:4" ht="12.75" customHeight="1" x14ac:dyDescent="0.35">
      <c r="A471" s="1279"/>
      <c r="B471" s="1279"/>
      <c r="C471" s="1279"/>
      <c r="D471" s="1279"/>
    </row>
    <row r="472" spans="1:4" ht="12.75" customHeight="1" x14ac:dyDescent="0.35">
      <c r="A472" s="1279"/>
      <c r="B472" s="1279" t="s">
        <v>3962</v>
      </c>
      <c r="C472" s="1279"/>
      <c r="D472" s="1279"/>
    </row>
    <row r="473" spans="1:4" ht="12.75" customHeight="1" x14ac:dyDescent="0.35">
      <c r="A473" s="1279"/>
      <c r="B473" s="1279" t="s">
        <v>3956</v>
      </c>
      <c r="C473" s="1279"/>
      <c r="D473" s="1279"/>
    </row>
    <row r="474" spans="1:4" ht="12.75" customHeight="1" x14ac:dyDescent="0.35">
      <c r="A474" s="1279"/>
      <c r="B474" s="1279" t="s">
        <v>5560</v>
      </c>
      <c r="C474" s="1279"/>
      <c r="D474" s="1279"/>
    </row>
    <row r="475" spans="1:4" ht="12.75" customHeight="1" x14ac:dyDescent="0.35">
      <c r="A475" s="1279"/>
      <c r="B475" s="1279" t="s">
        <v>3963</v>
      </c>
      <c r="C475" s="1279"/>
      <c r="D475" s="1279"/>
    </row>
    <row r="476" spans="1:4" ht="12.75" customHeight="1" x14ac:dyDescent="0.35">
      <c r="A476" s="1279"/>
      <c r="B476" s="1279"/>
      <c r="C476" s="1279" t="s">
        <v>3960</v>
      </c>
      <c r="D476" s="1279"/>
    </row>
    <row r="477" spans="1:4" ht="12.75" customHeight="1" x14ac:dyDescent="0.35">
      <c r="A477" s="1279"/>
      <c r="B477" s="1279"/>
      <c r="C477" s="1279" t="s">
        <v>3964</v>
      </c>
      <c r="D477" s="1279"/>
    </row>
    <row r="478" spans="1:4" ht="12.75" customHeight="1" x14ac:dyDescent="0.35">
      <c r="A478" s="1279"/>
      <c r="B478" s="1279"/>
      <c r="C478" s="1279" t="s">
        <v>3965</v>
      </c>
      <c r="D478" s="1279"/>
    </row>
    <row r="479" spans="1:4" ht="12.75" customHeight="1" x14ac:dyDescent="0.35">
      <c r="A479" s="1279"/>
      <c r="B479" s="1279"/>
      <c r="C479" s="1279"/>
      <c r="D479" s="1279"/>
    </row>
    <row r="480" spans="1:4" ht="12.75" customHeight="1" x14ac:dyDescent="0.35">
      <c r="A480" s="1279"/>
      <c r="B480" s="1279"/>
      <c r="C480" s="1279"/>
      <c r="D480" s="1279"/>
    </row>
    <row r="481" spans="1:4" ht="12.75" customHeight="1" x14ac:dyDescent="0.35">
      <c r="A481" s="1279"/>
      <c r="B481" s="1279"/>
      <c r="C481" s="1279"/>
      <c r="D481" s="1279"/>
    </row>
    <row r="482" spans="1:4" ht="12.75" customHeight="1" x14ac:dyDescent="0.35">
      <c r="A482" s="1279"/>
      <c r="B482" s="1279"/>
      <c r="C482" s="1279"/>
      <c r="D482" s="1279"/>
    </row>
    <row r="483" spans="1:4" ht="12.75" customHeight="1" x14ac:dyDescent="0.35">
      <c r="A483" s="1279"/>
      <c r="B483" s="1279"/>
      <c r="C483" s="1279"/>
      <c r="D483" s="1279"/>
    </row>
    <row r="484" spans="1:4" ht="12.75" customHeight="1" x14ac:dyDescent="0.35">
      <c r="A484" s="1279"/>
      <c r="B484" s="1279"/>
      <c r="C484" s="1279"/>
      <c r="D484" s="1279"/>
    </row>
    <row r="485" spans="1:4" ht="12.75" customHeight="1" x14ac:dyDescent="0.35">
      <c r="A485" s="1279"/>
      <c r="B485" s="1279"/>
      <c r="C485" s="1279"/>
      <c r="D485" s="1279"/>
    </row>
    <row r="486" spans="1:4" ht="12.75" customHeight="1" x14ac:dyDescent="0.35">
      <c r="A486" s="1280"/>
      <c r="B486" s="1279" t="s">
        <v>3966</v>
      </c>
      <c r="C486" s="1279"/>
      <c r="D486" s="1279"/>
    </row>
    <row r="487" spans="1:4" ht="12.75" customHeight="1" x14ac:dyDescent="0.35">
      <c r="A487" s="1280"/>
      <c r="B487" s="1278" t="s">
        <v>5684</v>
      </c>
      <c r="C487" s="1279"/>
      <c r="D487" s="1279"/>
    </row>
    <row r="488" spans="1:4" ht="12.75" customHeight="1" x14ac:dyDescent="0.35">
      <c r="A488" s="1279"/>
      <c r="B488" s="1279" t="s">
        <v>3967</v>
      </c>
      <c r="C488" s="1279"/>
      <c r="D488" s="1279"/>
    </row>
    <row r="489" spans="1:4" ht="12.75" customHeight="1" x14ac:dyDescent="0.35">
      <c r="A489" s="1279"/>
      <c r="B489" s="1279" t="s">
        <v>3956</v>
      </c>
      <c r="C489" s="1279"/>
      <c r="D489" s="1279"/>
    </row>
    <row r="490" spans="1:4" ht="12.75" customHeight="1" x14ac:dyDescent="0.35">
      <c r="A490" s="1279"/>
      <c r="B490" s="1279" t="s">
        <v>5339</v>
      </c>
      <c r="C490" s="1279"/>
      <c r="D490" s="1279"/>
    </row>
    <row r="491" spans="1:4" ht="12.75" customHeight="1" x14ac:dyDescent="0.35">
      <c r="A491" s="1279"/>
      <c r="B491" s="1279" t="s">
        <v>2539</v>
      </c>
      <c r="C491" s="1279"/>
      <c r="D491" s="1279"/>
    </row>
    <row r="492" spans="1:4" ht="12.75" customHeight="1" x14ac:dyDescent="0.35">
      <c r="A492" s="1279"/>
      <c r="B492" s="1279"/>
      <c r="C492" s="1279" t="s">
        <v>3968</v>
      </c>
      <c r="D492" s="1279"/>
    </row>
    <row r="493" spans="1:4" ht="12.75" customHeight="1" x14ac:dyDescent="0.35">
      <c r="A493" s="1279"/>
      <c r="B493" s="1279"/>
      <c r="C493" s="1279" t="s">
        <v>3969</v>
      </c>
      <c r="D493" s="1279"/>
    </row>
    <row r="494" spans="1:4" ht="12.75" customHeight="1" x14ac:dyDescent="0.35">
      <c r="A494" s="1279"/>
      <c r="B494" s="1279" t="s">
        <v>3970</v>
      </c>
      <c r="C494" s="1279"/>
      <c r="D494" s="1279"/>
    </row>
    <row r="495" spans="1:4" ht="12.75" customHeight="1" x14ac:dyDescent="0.35">
      <c r="A495" s="1279"/>
      <c r="B495" s="1279" t="s">
        <v>3956</v>
      </c>
      <c r="C495" s="1279"/>
      <c r="D495" s="1279"/>
    </row>
    <row r="496" spans="1:4" ht="12.75" customHeight="1" x14ac:dyDescent="0.35">
      <c r="A496" s="1279"/>
      <c r="B496" s="1279" t="s">
        <v>5338</v>
      </c>
      <c r="C496" s="1279"/>
      <c r="D496" s="1279"/>
    </row>
    <row r="497" spans="1:4" ht="12.75" customHeight="1" x14ac:dyDescent="0.35">
      <c r="A497" s="1279"/>
      <c r="B497" s="1279" t="s">
        <v>3971</v>
      </c>
      <c r="C497" s="1279"/>
      <c r="D497" s="1279"/>
    </row>
    <row r="498" spans="1:4" ht="12.75" customHeight="1" x14ac:dyDescent="0.35">
      <c r="A498" s="1279"/>
      <c r="B498" s="1279"/>
      <c r="C498" s="1279" t="s">
        <v>3971</v>
      </c>
      <c r="D498" s="1279"/>
    </row>
    <row r="499" spans="1:4" ht="12.75" customHeight="1" x14ac:dyDescent="0.35">
      <c r="A499" s="1279"/>
      <c r="B499" s="1279"/>
      <c r="C499" s="1279" t="s">
        <v>3972</v>
      </c>
      <c r="D499" s="1279"/>
    </row>
    <row r="500" spans="1:4" ht="12.75" customHeight="1" x14ac:dyDescent="0.35">
      <c r="A500" s="1279"/>
      <c r="B500" s="1279" t="s">
        <v>3973</v>
      </c>
      <c r="C500" s="1279"/>
      <c r="D500" s="1279"/>
    </row>
    <row r="501" spans="1:4" ht="12.75" customHeight="1" x14ac:dyDescent="0.35">
      <c r="A501" s="1279"/>
      <c r="B501" s="1279" t="s">
        <v>3974</v>
      </c>
      <c r="C501" s="1279"/>
      <c r="D501" s="1279"/>
    </row>
    <row r="502" spans="1:4" ht="12.75" customHeight="1" x14ac:dyDescent="0.35">
      <c r="A502" s="1279"/>
      <c r="B502" s="1279"/>
      <c r="C502" s="1279" t="s">
        <v>3975</v>
      </c>
      <c r="D502" s="1279"/>
    </row>
    <row r="503" spans="1:4" ht="12.75" customHeight="1" x14ac:dyDescent="0.35">
      <c r="A503" s="1279"/>
      <c r="B503" s="1279"/>
      <c r="C503" s="1279" t="s">
        <v>3976</v>
      </c>
      <c r="D503" s="1279"/>
    </row>
    <row r="504" spans="1:4" ht="12.75" customHeight="1" x14ac:dyDescent="0.35">
      <c r="A504" s="1279"/>
      <c r="B504" s="1279" t="s">
        <v>3977</v>
      </c>
      <c r="C504" s="1279"/>
      <c r="D504" s="1279"/>
    </row>
    <row r="505" spans="1:4" ht="12.75" customHeight="1" x14ac:dyDescent="0.35">
      <c r="A505" s="1279"/>
      <c r="B505" s="1279" t="s">
        <v>3978</v>
      </c>
      <c r="C505" s="1279"/>
      <c r="D505" s="1279"/>
    </row>
    <row r="506" spans="1:4" ht="12.75" customHeight="1" x14ac:dyDescent="0.35">
      <c r="A506" s="1279"/>
      <c r="B506" s="1279"/>
      <c r="C506" s="1279" t="s">
        <v>3979</v>
      </c>
      <c r="D506" s="1279"/>
    </row>
    <row r="507" spans="1:4" ht="12.75" customHeight="1" x14ac:dyDescent="0.35">
      <c r="A507" s="1279"/>
      <c r="B507" s="1279"/>
      <c r="C507" s="1279" t="str">
        <f>IF(CalculatedDepreciation,"Другие а","A")&amp;"ссигнования, прирост (-) / снижение (+)"</f>
        <v>Aссигнования, прирост (-) / снижение (+)</v>
      </c>
      <c r="D507" s="1279"/>
    </row>
    <row r="508" spans="1:4" ht="12.75" customHeight="1" x14ac:dyDescent="0.35">
      <c r="A508" s="1279"/>
      <c r="B508" s="1279" t="s">
        <v>2591</v>
      </c>
      <c r="C508" s="1279"/>
      <c r="D508" s="1279"/>
    </row>
    <row r="509" spans="1:4" ht="12.75" customHeight="1" x14ac:dyDescent="0.35">
      <c r="A509" s="1280"/>
      <c r="B509" s="1279" t="s">
        <v>3980</v>
      </c>
      <c r="C509" s="1279"/>
      <c r="D509" s="1279"/>
    </row>
    <row r="510" spans="1:4" ht="12.75" customHeight="1" x14ac:dyDescent="0.35">
      <c r="A510" s="1279"/>
      <c r="B510" s="1279" t="s">
        <v>3981</v>
      </c>
      <c r="C510" s="1279"/>
      <c r="D510" s="1279"/>
    </row>
    <row r="511" spans="1:4" ht="12.75" customHeight="1" x14ac:dyDescent="0.35">
      <c r="A511" s="1279"/>
      <c r="B511" s="1279" t="s">
        <v>3982</v>
      </c>
      <c r="C511" s="1279"/>
      <c r="D511" s="1279"/>
    </row>
    <row r="512" spans="1:4" ht="12.75" customHeight="1" x14ac:dyDescent="0.35">
      <c r="A512" s="1279"/>
      <c r="B512" s="1279" t="s">
        <v>3956</v>
      </c>
      <c r="C512" s="1279"/>
      <c r="D512" s="1279"/>
    </row>
    <row r="513" spans="1:4" ht="12.75" customHeight="1" x14ac:dyDescent="0.35">
      <c r="A513" s="1279"/>
      <c r="B513" s="1279" t="s">
        <v>5561</v>
      </c>
      <c r="C513" s="1279"/>
      <c r="D513" s="1279"/>
    </row>
    <row r="514" spans="1:4" ht="12.75" customHeight="1" x14ac:dyDescent="0.35">
      <c r="A514" s="1279"/>
      <c r="B514" s="1279" t="s">
        <v>3983</v>
      </c>
      <c r="C514" s="1279"/>
      <c r="D514" s="1279"/>
    </row>
    <row r="515" spans="1:4" ht="12.75" customHeight="1" x14ac:dyDescent="0.35">
      <c r="A515" s="1279"/>
      <c r="B515" s="1279" t="s">
        <v>3984</v>
      </c>
      <c r="C515" s="1279"/>
      <c r="D515" s="1279"/>
    </row>
    <row r="516" spans="1:4" ht="12.75" customHeight="1" x14ac:dyDescent="0.35">
      <c r="A516" s="1279"/>
      <c r="B516" s="1279" t="s">
        <v>3985</v>
      </c>
      <c r="C516" s="1279"/>
      <c r="D516" s="1279"/>
    </row>
    <row r="517" spans="1:4" ht="12.75" customHeight="1" x14ac:dyDescent="0.35">
      <c r="A517" s="1279"/>
      <c r="B517" s="1279" t="s">
        <v>3986</v>
      </c>
      <c r="C517" s="1279"/>
      <c r="D517" s="1279"/>
    </row>
    <row r="518" spans="1:4" ht="12.75" customHeight="1" x14ac:dyDescent="0.35">
      <c r="A518" s="1279"/>
      <c r="B518" s="1279" t="s">
        <v>3987</v>
      </c>
      <c r="C518" s="1279"/>
      <c r="D518" s="1279"/>
    </row>
    <row r="519" spans="1:4" ht="12.75" customHeight="1" x14ac:dyDescent="0.35">
      <c r="A519" s="1279"/>
      <c r="B519" s="1279" t="s">
        <v>3988</v>
      </c>
      <c r="C519" s="1279"/>
      <c r="D519" s="1279"/>
    </row>
    <row r="520" spans="1:4" ht="12.75" customHeight="1" x14ac:dyDescent="0.35">
      <c r="A520" s="1279"/>
      <c r="B520" s="1279" t="s">
        <v>3989</v>
      </c>
      <c r="C520" s="1279"/>
      <c r="D520" s="1279"/>
    </row>
    <row r="521" spans="1:4" ht="12.75" customHeight="1" x14ac:dyDescent="0.35">
      <c r="A521" s="1279"/>
      <c r="B521" s="1279"/>
      <c r="C521" s="1279"/>
      <c r="D521" s="1279"/>
    </row>
    <row r="522" spans="1:4" ht="12.75" customHeight="1" x14ac:dyDescent="0.35">
      <c r="A522" s="1279"/>
      <c r="B522" s="1279"/>
      <c r="C522" s="1279"/>
      <c r="D522" s="1279"/>
    </row>
    <row r="523" spans="1:4" ht="12.75" customHeight="1" x14ac:dyDescent="0.35">
      <c r="A523" s="1279"/>
      <c r="B523" s="1279" t="s">
        <v>3990</v>
      </c>
      <c r="C523" s="1279"/>
      <c r="D523" s="1279"/>
    </row>
    <row r="524" spans="1:4" ht="12.75" customHeight="1" x14ac:dyDescent="0.35">
      <c r="A524" s="1279"/>
      <c r="B524" s="1279" t="s">
        <v>3991</v>
      </c>
      <c r="C524" s="1279"/>
      <c r="D524" s="1279"/>
    </row>
    <row r="525" spans="1:4" ht="12.75" customHeight="1" x14ac:dyDescent="0.35">
      <c r="A525" s="1279"/>
      <c r="B525" s="1279" t="s">
        <v>2539</v>
      </c>
      <c r="C525" s="1279"/>
      <c r="D525" s="1279"/>
    </row>
    <row r="526" spans="1:4" ht="12.75" customHeight="1" x14ac:dyDescent="0.35">
      <c r="A526" s="1279"/>
      <c r="B526" s="1279" t="s">
        <v>3992</v>
      </c>
      <c r="C526" s="1279"/>
      <c r="D526" s="1279"/>
    </row>
    <row r="527" spans="1:4" ht="12.75" customHeight="1" x14ac:dyDescent="0.35">
      <c r="A527" s="1279"/>
      <c r="B527" s="1279" t="s">
        <v>3993</v>
      </c>
      <c r="C527" s="1279"/>
      <c r="D527" s="1279"/>
    </row>
    <row r="528" spans="1:4" ht="12.75" customHeight="1" x14ac:dyDescent="0.35">
      <c r="A528" s="1279"/>
      <c r="B528" s="1279" t="s">
        <v>3994</v>
      </c>
      <c r="C528" s="1279"/>
      <c r="D528" s="1279"/>
    </row>
    <row r="529" spans="1:4" ht="12.75" customHeight="1" x14ac:dyDescent="0.35">
      <c r="A529" s="1279"/>
      <c r="B529" s="1279" t="s">
        <v>3981</v>
      </c>
      <c r="C529" s="1279"/>
      <c r="D529" s="1279"/>
    </row>
    <row r="530" spans="1:4" ht="12.75" customHeight="1" x14ac:dyDescent="0.35">
      <c r="A530" s="1279"/>
      <c r="B530" s="1279" t="s">
        <v>3995</v>
      </c>
      <c r="C530" s="1279"/>
      <c r="D530" s="1279"/>
    </row>
    <row r="531" spans="1:4" ht="12.75" customHeight="1" x14ac:dyDescent="0.35">
      <c r="A531" s="1279"/>
      <c r="B531" s="1279" t="s">
        <v>3996</v>
      </c>
      <c r="C531" s="1279"/>
      <c r="D531" s="1279"/>
    </row>
    <row r="532" spans="1:4" ht="12.75" customHeight="1" x14ac:dyDescent="0.35">
      <c r="A532" s="1279"/>
      <c r="B532" s="1279" t="s">
        <v>3997</v>
      </c>
      <c r="C532" s="1279"/>
      <c r="D532" s="1279"/>
    </row>
    <row r="533" spans="1:4" ht="12.75" customHeight="1" x14ac:dyDescent="0.35">
      <c r="A533" s="1279"/>
      <c r="B533" s="1279" t="s">
        <v>3998</v>
      </c>
      <c r="C533" s="1279"/>
      <c r="D533" s="1279"/>
    </row>
    <row r="534" spans="1:4" ht="12.75" customHeight="1" x14ac:dyDescent="0.35">
      <c r="A534" s="1279"/>
      <c r="B534" s="1279" t="s">
        <v>3999</v>
      </c>
      <c r="C534" s="1279"/>
      <c r="D534" s="1279"/>
    </row>
    <row r="535" spans="1:4" ht="12.75" customHeight="1" x14ac:dyDescent="0.35">
      <c r="A535" s="1279"/>
      <c r="B535" s="1279" t="s">
        <v>4000</v>
      </c>
      <c r="C535" s="1279"/>
      <c r="D535" s="1279"/>
    </row>
    <row r="536" spans="1:4" ht="12.75" customHeight="1" x14ac:dyDescent="0.35">
      <c r="A536" s="1279"/>
      <c r="B536" s="1279" t="s">
        <v>4001</v>
      </c>
      <c r="C536" s="1279"/>
      <c r="D536" s="1279"/>
    </row>
    <row r="537" spans="1:4" ht="12.75" customHeight="1" x14ac:dyDescent="0.35">
      <c r="A537" s="1279"/>
      <c r="B537" s="1279"/>
      <c r="C537" s="1279"/>
      <c r="D537" s="1279"/>
    </row>
    <row r="538" spans="1:4" ht="12.75" customHeight="1" x14ac:dyDescent="0.35">
      <c r="A538" s="1279"/>
      <c r="B538" s="1279"/>
      <c r="C538" s="1279"/>
      <c r="D538" s="1279"/>
    </row>
    <row r="539" spans="1:4" ht="12.75" customHeight="1" x14ac:dyDescent="0.35">
      <c r="A539" s="1279"/>
      <c r="B539" s="1279"/>
      <c r="C539" s="1279"/>
      <c r="D539" s="1279"/>
    </row>
    <row r="540" spans="1:4" ht="12.75" customHeight="1" x14ac:dyDescent="0.35">
      <c r="A540" s="1279"/>
      <c r="B540" s="1279"/>
      <c r="C540" s="1279"/>
      <c r="D540" s="1279"/>
    </row>
    <row r="541" spans="1:4" ht="12.75" customHeight="1" x14ac:dyDescent="0.35">
      <c r="A541" s="1279"/>
      <c r="B541" s="1279"/>
      <c r="C541" s="1279"/>
      <c r="D541" s="1279"/>
    </row>
    <row r="542" spans="1:4" ht="12.75" customHeight="1" x14ac:dyDescent="0.35">
      <c r="A542" s="1279"/>
      <c r="B542" s="1279" t="s">
        <v>4002</v>
      </c>
      <c r="C542" s="1279"/>
      <c r="D542" s="1279"/>
    </row>
    <row r="543" spans="1:4" ht="12.75" customHeight="1" x14ac:dyDescent="0.35">
      <c r="A543" s="1279"/>
      <c r="B543" s="1279"/>
      <c r="C543" s="1279"/>
      <c r="D543" s="1279"/>
    </row>
    <row r="544" spans="1:4" ht="12.75" customHeight="1" x14ac:dyDescent="0.35">
      <c r="A544" s="1279"/>
      <c r="B544" s="1279" t="s">
        <v>3908</v>
      </c>
      <c r="C544" s="1279"/>
      <c r="D544" s="1279"/>
    </row>
    <row r="545" spans="1:4" ht="12.75" customHeight="1" x14ac:dyDescent="0.35">
      <c r="A545" s="1279"/>
      <c r="B545" s="1279" t="s">
        <v>4003</v>
      </c>
      <c r="C545" s="1279"/>
      <c r="D545" s="1279"/>
    </row>
    <row r="546" spans="1:4" ht="12.75" customHeight="1" x14ac:dyDescent="0.35">
      <c r="A546" s="1279"/>
      <c r="B546" s="1279"/>
      <c r="C546" s="1281" t="s">
        <v>4004</v>
      </c>
      <c r="D546" s="1282"/>
    </row>
    <row r="547" spans="1:4" ht="12.75" customHeight="1" x14ac:dyDescent="0.35">
      <c r="A547" s="1279"/>
      <c r="B547" s="1279"/>
      <c r="C547" s="1281" t="s">
        <v>4005</v>
      </c>
      <c r="D547" s="1282"/>
    </row>
    <row r="548" spans="1:4" ht="12.75" customHeight="1" x14ac:dyDescent="0.35">
      <c r="A548" s="1279"/>
      <c r="B548" s="1279"/>
      <c r="C548" s="1281" t="s">
        <v>4006</v>
      </c>
      <c r="D548" s="1282"/>
    </row>
    <row r="549" spans="1:4" ht="12.75" customHeight="1" x14ac:dyDescent="0.35">
      <c r="A549" s="1279"/>
      <c r="B549" s="1279"/>
      <c r="C549" s="1281" t="s">
        <v>4007</v>
      </c>
      <c r="D549" s="1282"/>
    </row>
    <row r="550" spans="1:4" ht="12.75" customHeight="1" x14ac:dyDescent="0.35">
      <c r="A550" s="1279"/>
      <c r="B550" s="1279"/>
      <c r="C550" s="1281" t="s">
        <v>4004</v>
      </c>
      <c r="D550" s="1282"/>
    </row>
    <row r="551" spans="1:4" ht="12.75" customHeight="1" x14ac:dyDescent="0.35">
      <c r="A551" s="1279"/>
      <c r="B551" s="1279"/>
      <c r="C551" s="1281" t="s">
        <v>5443</v>
      </c>
      <c r="D551" s="1282"/>
    </row>
    <row r="552" spans="1:4" ht="12.75" customHeight="1" x14ac:dyDescent="0.35">
      <c r="A552" s="1279"/>
      <c r="B552" s="1279"/>
      <c r="C552" s="1281" t="s">
        <v>4006</v>
      </c>
      <c r="D552" s="1282"/>
    </row>
    <row r="553" spans="1:4" ht="12.75" customHeight="1" x14ac:dyDescent="0.35">
      <c r="A553" s="1279"/>
      <c r="B553" s="1279"/>
      <c r="C553" s="1281" t="s">
        <v>4007</v>
      </c>
      <c r="D553" s="1282"/>
    </row>
    <row r="554" spans="1:4" ht="12.75" customHeight="1" x14ac:dyDescent="0.35">
      <c r="A554" s="1279"/>
      <c r="B554" s="1279"/>
      <c r="C554" s="1281" t="s">
        <v>4004</v>
      </c>
      <c r="D554" s="1282"/>
    </row>
    <row r="555" spans="1:4" ht="12.75" customHeight="1" x14ac:dyDescent="0.35">
      <c r="A555" s="1279"/>
      <c r="B555" s="1279"/>
      <c r="C555" s="1281" t="s">
        <v>5444</v>
      </c>
      <c r="D555" s="1282"/>
    </row>
    <row r="556" spans="1:4" ht="12.75" customHeight="1" x14ac:dyDescent="0.35">
      <c r="A556" s="1279"/>
      <c r="B556" s="1279"/>
      <c r="C556" s="1281" t="s">
        <v>4006</v>
      </c>
      <c r="D556" s="1282"/>
    </row>
    <row r="557" spans="1:4" ht="12.75" customHeight="1" x14ac:dyDescent="0.35">
      <c r="A557" s="1279"/>
      <c r="B557" s="1279"/>
      <c r="C557" s="1281" t="s">
        <v>4007</v>
      </c>
      <c r="D557" s="1282"/>
    </row>
    <row r="558" spans="1:4" ht="12.75" customHeight="1" x14ac:dyDescent="0.35">
      <c r="A558" s="1279"/>
      <c r="B558" s="1279"/>
      <c r="C558" s="1281" t="s">
        <v>4004</v>
      </c>
      <c r="D558" s="1282"/>
    </row>
    <row r="559" spans="1:4" ht="12.75" customHeight="1" x14ac:dyDescent="0.35">
      <c r="A559" s="1279"/>
      <c r="B559" s="1279"/>
      <c r="C559" s="1281" t="s">
        <v>4005</v>
      </c>
      <c r="D559" s="1282"/>
    </row>
    <row r="560" spans="1:4" ht="12.75" customHeight="1" x14ac:dyDescent="0.35">
      <c r="A560" s="1279"/>
      <c r="B560" s="1279"/>
      <c r="C560" s="1281" t="s">
        <v>4006</v>
      </c>
      <c r="D560" s="1282"/>
    </row>
    <row r="561" spans="1:4" ht="12.75" customHeight="1" x14ac:dyDescent="0.35">
      <c r="A561" s="1279"/>
      <c r="B561" s="1279"/>
      <c r="C561" s="1281" t="s">
        <v>4007</v>
      </c>
      <c r="D561" s="1282"/>
    </row>
    <row r="562" spans="1:4" ht="12.75" customHeight="1" x14ac:dyDescent="0.35">
      <c r="A562" s="1279"/>
      <c r="B562" s="1279"/>
      <c r="C562" s="1281" t="s">
        <v>4004</v>
      </c>
      <c r="D562" s="1282"/>
    </row>
    <row r="563" spans="1:4" ht="12.75" customHeight="1" x14ac:dyDescent="0.35">
      <c r="A563" s="1279"/>
      <c r="B563" s="1279"/>
      <c r="C563" s="1281" t="s">
        <v>4005</v>
      </c>
      <c r="D563" s="1282"/>
    </row>
    <row r="564" spans="1:4" ht="12.75" customHeight="1" x14ac:dyDescent="0.35">
      <c r="A564" s="1279"/>
      <c r="B564" s="1279"/>
      <c r="C564" s="1281" t="s">
        <v>4006</v>
      </c>
      <c r="D564" s="1282"/>
    </row>
    <row r="565" spans="1:4" ht="12.75" customHeight="1" x14ac:dyDescent="0.35">
      <c r="A565" s="1279"/>
      <c r="B565" s="1279"/>
      <c r="C565" s="1281" t="s">
        <v>4007</v>
      </c>
      <c r="D565" s="1282"/>
    </row>
    <row r="566" spans="1:4" ht="12.75" customHeight="1" x14ac:dyDescent="0.35">
      <c r="A566" s="1279"/>
      <c r="B566" s="1279"/>
      <c r="C566" s="1278" t="s">
        <v>5685</v>
      </c>
      <c r="D566" s="1282"/>
    </row>
    <row r="567" spans="1:4" ht="12.75" customHeight="1" x14ac:dyDescent="0.35">
      <c r="A567" s="1279"/>
      <c r="B567" s="1279"/>
      <c r="C567" s="1278" t="s">
        <v>5692</v>
      </c>
      <c r="D567" s="1282"/>
    </row>
    <row r="568" spans="1:4" ht="12.75" customHeight="1" x14ac:dyDescent="0.35">
      <c r="A568" s="1279"/>
      <c r="B568" s="1279"/>
      <c r="C568" s="1279" t="s">
        <v>4008</v>
      </c>
      <c r="D568" s="1282"/>
    </row>
    <row r="569" spans="1:4" ht="12.75" customHeight="1" x14ac:dyDescent="0.35">
      <c r="A569" s="1279"/>
      <c r="B569" s="1279"/>
      <c r="C569" s="1279" t="s">
        <v>4009</v>
      </c>
      <c r="D569" s="1282"/>
    </row>
    <row r="570" spans="1:4" ht="12.75" customHeight="1" x14ac:dyDescent="0.35">
      <c r="A570" s="1279"/>
      <c r="B570" s="1279"/>
      <c r="C570" s="1278" t="s">
        <v>5686</v>
      </c>
      <c r="D570" s="1282"/>
    </row>
    <row r="571" spans="1:4" ht="12.75" customHeight="1" x14ac:dyDescent="0.35">
      <c r="A571" s="1279"/>
      <c r="B571" s="1279"/>
      <c r="C571" s="1278" t="s">
        <v>5695</v>
      </c>
      <c r="D571" s="1282"/>
    </row>
    <row r="572" spans="1:4" ht="12.75" customHeight="1" x14ac:dyDescent="0.35">
      <c r="A572" s="1279"/>
      <c r="B572" s="1279"/>
      <c r="C572" s="1279" t="s">
        <v>4010</v>
      </c>
      <c r="D572" s="1282"/>
    </row>
    <row r="573" spans="1:4" ht="12.75" customHeight="1" x14ac:dyDescent="0.35">
      <c r="A573" s="1279"/>
      <c r="B573" s="1279"/>
      <c r="C573" s="1279" t="s">
        <v>4011</v>
      </c>
      <c r="D573" s="1282"/>
    </row>
    <row r="574" spans="1:4" ht="12.75" customHeight="1" x14ac:dyDescent="0.35">
      <c r="A574" s="1279"/>
      <c r="B574" s="1279"/>
      <c r="C574" s="1279" t="s">
        <v>4012</v>
      </c>
      <c r="D574" s="1282"/>
    </row>
    <row r="575" spans="1:4" ht="12.75" customHeight="1" x14ac:dyDescent="0.35">
      <c r="A575" s="1279"/>
      <c r="B575" s="1279" t="s">
        <v>4013</v>
      </c>
      <c r="C575" s="1279"/>
      <c r="D575" s="1282"/>
    </row>
    <row r="576" spans="1:4" ht="12.75" customHeight="1" x14ac:dyDescent="0.35">
      <c r="A576" s="1279"/>
      <c r="B576" s="1279"/>
      <c r="C576" s="1279" t="s">
        <v>4015</v>
      </c>
      <c r="D576" s="1282"/>
    </row>
    <row r="577" spans="1:4" ht="12.75" customHeight="1" x14ac:dyDescent="0.35">
      <c r="A577" s="1279"/>
      <c r="B577" s="1279"/>
      <c r="C577" s="1279" t="s">
        <v>4013</v>
      </c>
      <c r="D577" s="1282"/>
    </row>
    <row r="578" spans="1:4" ht="12.75" customHeight="1" x14ac:dyDescent="0.35">
      <c r="A578" s="1279"/>
      <c r="B578" s="1279"/>
      <c r="C578" s="1281" t="s">
        <v>5505</v>
      </c>
      <c r="D578" s="1282"/>
    </row>
    <row r="579" spans="1:4" ht="12.75" customHeight="1" x14ac:dyDescent="0.35">
      <c r="A579" s="1279"/>
      <c r="B579" s="1279"/>
      <c r="C579" s="1279" t="s">
        <v>4014</v>
      </c>
      <c r="D579" s="1282"/>
    </row>
    <row r="580" spans="1:4" ht="12.75" customHeight="1" x14ac:dyDescent="0.35">
      <c r="A580" s="1279"/>
      <c r="B580" s="1279"/>
      <c r="C580" s="1279" t="s">
        <v>4015</v>
      </c>
      <c r="D580" s="1282"/>
    </row>
    <row r="581" spans="1:4" ht="12.75" customHeight="1" x14ac:dyDescent="0.35">
      <c r="A581" s="1279"/>
      <c r="B581" s="1279"/>
      <c r="C581" s="1279" t="s">
        <v>5501</v>
      </c>
      <c r="D581" s="1282"/>
    </row>
    <row r="582" spans="1:4" ht="12.75" customHeight="1" x14ac:dyDescent="0.35">
      <c r="A582" s="1279"/>
      <c r="B582" s="1279"/>
      <c r="C582" s="1281" t="s">
        <v>5505</v>
      </c>
      <c r="D582" s="1282"/>
    </row>
    <row r="583" spans="1:4" ht="12.75" customHeight="1" x14ac:dyDescent="0.35">
      <c r="A583" s="1279"/>
      <c r="B583" s="1279"/>
      <c r="C583" s="1279" t="s">
        <v>4014</v>
      </c>
      <c r="D583" s="1282"/>
    </row>
    <row r="584" spans="1:4" ht="12.75" customHeight="1" x14ac:dyDescent="0.35">
      <c r="A584" s="1279"/>
      <c r="B584" s="1279"/>
      <c r="C584" s="1279" t="s">
        <v>4015</v>
      </c>
      <c r="D584" s="1282"/>
    </row>
    <row r="585" spans="1:4" ht="12.75" customHeight="1" x14ac:dyDescent="0.35">
      <c r="A585" s="1279"/>
      <c r="B585" s="1279"/>
      <c r="C585" s="1279" t="s">
        <v>5502</v>
      </c>
      <c r="D585" s="1282"/>
    </row>
    <row r="586" spans="1:4" ht="12.75" customHeight="1" x14ac:dyDescent="0.35">
      <c r="A586" s="1279"/>
      <c r="B586" s="1279"/>
      <c r="C586" s="1281" t="s">
        <v>5505</v>
      </c>
      <c r="D586" s="1282"/>
    </row>
    <row r="587" spans="1:4" ht="12.75" customHeight="1" x14ac:dyDescent="0.35">
      <c r="A587" s="1279"/>
      <c r="B587" s="1279"/>
      <c r="C587" s="1279" t="s">
        <v>4014</v>
      </c>
      <c r="D587" s="1282"/>
    </row>
    <row r="588" spans="1:4" ht="12.75" customHeight="1" x14ac:dyDescent="0.35">
      <c r="A588" s="1279"/>
      <c r="B588" s="1279"/>
      <c r="C588" s="1279" t="s">
        <v>4015</v>
      </c>
      <c r="D588" s="1282"/>
    </row>
    <row r="589" spans="1:4" ht="12.75" customHeight="1" x14ac:dyDescent="0.35">
      <c r="A589" s="1279"/>
      <c r="B589" s="1279"/>
      <c r="C589" s="1279" t="s">
        <v>5503</v>
      </c>
      <c r="D589" s="1282"/>
    </row>
    <row r="590" spans="1:4" ht="12.75" customHeight="1" x14ac:dyDescent="0.35">
      <c r="A590" s="1279"/>
      <c r="B590" s="1279"/>
      <c r="C590" s="1281" t="s">
        <v>5505</v>
      </c>
      <c r="D590" s="1282"/>
    </row>
    <row r="591" spans="1:4" ht="12.75" customHeight="1" x14ac:dyDescent="0.35">
      <c r="A591" s="1279"/>
      <c r="B591" s="1279"/>
      <c r="C591" s="1279" t="s">
        <v>4014</v>
      </c>
      <c r="D591" s="1282"/>
    </row>
    <row r="592" spans="1:4" ht="12.75" customHeight="1" x14ac:dyDescent="0.35">
      <c r="A592" s="1279"/>
      <c r="B592" s="1279"/>
      <c r="C592" s="1279" t="s">
        <v>4015</v>
      </c>
      <c r="D592" s="1282"/>
    </row>
    <row r="593" spans="1:4" ht="12.75" customHeight="1" x14ac:dyDescent="0.35">
      <c r="A593" s="1279"/>
      <c r="B593" s="1279"/>
      <c r="C593" s="1279" t="s">
        <v>5504</v>
      </c>
      <c r="D593" s="1282"/>
    </row>
    <row r="594" spans="1:4" ht="12.75" customHeight="1" x14ac:dyDescent="0.35">
      <c r="A594" s="1279"/>
      <c r="B594" s="1279"/>
      <c r="C594" s="1281" t="s">
        <v>5505</v>
      </c>
      <c r="D594" s="1282"/>
    </row>
    <row r="595" spans="1:4" ht="12.75" customHeight="1" x14ac:dyDescent="0.35">
      <c r="A595" s="1279"/>
      <c r="B595" s="1279"/>
      <c r="C595" s="1279" t="s">
        <v>4016</v>
      </c>
      <c r="D595" s="1282"/>
    </row>
    <row r="596" spans="1:4" ht="12.75" customHeight="1" x14ac:dyDescent="0.35">
      <c r="A596" s="1279"/>
      <c r="B596" s="1279"/>
      <c r="C596" s="1279" t="s">
        <v>4016</v>
      </c>
      <c r="D596" s="1282"/>
    </row>
    <row r="597" spans="1:4" ht="12.75" customHeight="1" x14ac:dyDescent="0.35">
      <c r="A597" s="1279"/>
      <c r="B597" s="1279" t="s">
        <v>4017</v>
      </c>
      <c r="C597" s="1279"/>
      <c r="D597" s="1282"/>
    </row>
    <row r="598" spans="1:4" ht="12.75" customHeight="1" x14ac:dyDescent="0.35">
      <c r="A598" s="1279"/>
      <c r="B598" s="1279"/>
      <c r="C598" s="1279" t="s">
        <v>4018</v>
      </c>
      <c r="D598" s="1282"/>
    </row>
    <row r="599" spans="1:4" ht="12.75" customHeight="1" x14ac:dyDescent="0.35">
      <c r="A599" s="1279"/>
      <c r="B599" s="1279"/>
      <c r="C599" s="1281" t="s">
        <v>4019</v>
      </c>
      <c r="D599" s="1282"/>
    </row>
    <row r="600" spans="1:4" ht="12.75" customHeight="1" x14ac:dyDescent="0.35">
      <c r="A600" s="1279"/>
      <c r="B600" s="1279"/>
      <c r="C600" s="1279" t="s">
        <v>4020</v>
      </c>
      <c r="D600" s="1282"/>
    </row>
    <row r="601" spans="1:4" ht="12.75" customHeight="1" x14ac:dyDescent="0.35">
      <c r="A601" s="1279"/>
      <c r="B601" s="1279"/>
      <c r="C601" s="1279" t="s">
        <v>4021</v>
      </c>
      <c r="D601" s="1282"/>
    </row>
    <row r="602" spans="1:4" ht="12.75" customHeight="1" x14ac:dyDescent="0.35">
      <c r="A602" s="1279"/>
      <c r="B602" s="1279"/>
      <c r="C602" s="1279" t="s">
        <v>4018</v>
      </c>
      <c r="D602" s="1282"/>
    </row>
    <row r="603" spans="1:4" ht="12.75" customHeight="1" x14ac:dyDescent="0.35">
      <c r="A603" s="1279"/>
      <c r="B603" s="1279"/>
      <c r="C603" s="1281" t="s">
        <v>5439</v>
      </c>
      <c r="D603" s="1282"/>
    </row>
    <row r="604" spans="1:4" ht="12.75" customHeight="1" x14ac:dyDescent="0.35">
      <c r="A604" s="1279"/>
      <c r="B604" s="1279"/>
      <c r="C604" s="1279" t="s">
        <v>4020</v>
      </c>
      <c r="D604" s="1282"/>
    </row>
    <row r="605" spans="1:4" ht="12.75" customHeight="1" x14ac:dyDescent="0.35">
      <c r="A605" s="1279"/>
      <c r="B605" s="1279"/>
      <c r="C605" s="1279" t="s">
        <v>4021</v>
      </c>
      <c r="D605" s="1282"/>
    </row>
    <row r="606" spans="1:4" ht="12.75" customHeight="1" x14ac:dyDescent="0.35">
      <c r="A606" s="1279"/>
      <c r="B606" s="1279"/>
      <c r="C606" s="1279" t="s">
        <v>4018</v>
      </c>
      <c r="D606" s="1282"/>
    </row>
    <row r="607" spans="1:4" ht="12.75" customHeight="1" x14ac:dyDescent="0.35">
      <c r="A607" s="1279"/>
      <c r="B607" s="1279"/>
      <c r="C607" s="1281" t="s">
        <v>5440</v>
      </c>
      <c r="D607" s="1282"/>
    </row>
    <row r="608" spans="1:4" ht="12.75" customHeight="1" x14ac:dyDescent="0.35">
      <c r="A608" s="1279"/>
      <c r="B608" s="1279"/>
      <c r="C608" s="1279" t="s">
        <v>4020</v>
      </c>
      <c r="D608" s="1282"/>
    </row>
    <row r="609" spans="1:4" ht="12.75" customHeight="1" x14ac:dyDescent="0.35">
      <c r="A609" s="1279"/>
      <c r="B609" s="1279"/>
      <c r="C609" s="1279" t="s">
        <v>4021</v>
      </c>
      <c r="D609" s="1282"/>
    </row>
    <row r="610" spans="1:4" ht="12.75" customHeight="1" x14ac:dyDescent="0.35">
      <c r="A610" s="1279"/>
      <c r="B610" s="1279"/>
      <c r="C610" s="1279" t="s">
        <v>4018</v>
      </c>
      <c r="D610" s="1282"/>
    </row>
    <row r="611" spans="1:4" ht="12.75" customHeight="1" x14ac:dyDescent="0.35">
      <c r="A611" s="1279"/>
      <c r="B611" s="1279"/>
      <c r="C611" s="1281" t="s">
        <v>5441</v>
      </c>
      <c r="D611" s="1282"/>
    </row>
    <row r="612" spans="1:4" ht="12.75" customHeight="1" x14ac:dyDescent="0.35">
      <c r="A612" s="1279"/>
      <c r="B612" s="1279"/>
      <c r="C612" s="1279" t="s">
        <v>4020</v>
      </c>
      <c r="D612" s="1282"/>
    </row>
    <row r="613" spans="1:4" ht="12.75" customHeight="1" x14ac:dyDescent="0.35">
      <c r="A613" s="1279"/>
      <c r="B613" s="1279"/>
      <c r="C613" s="1279" t="s">
        <v>4021</v>
      </c>
      <c r="D613" s="1282"/>
    </row>
    <row r="614" spans="1:4" ht="12.75" customHeight="1" x14ac:dyDescent="0.35">
      <c r="A614" s="1279"/>
      <c r="B614" s="1279"/>
      <c r="C614" s="1279" t="s">
        <v>4018</v>
      </c>
      <c r="D614" s="1282"/>
    </row>
    <row r="615" spans="1:4" ht="12.75" customHeight="1" x14ac:dyDescent="0.35">
      <c r="A615" s="1279"/>
      <c r="B615" s="1279"/>
      <c r="C615" s="1281" t="s">
        <v>5442</v>
      </c>
      <c r="D615" s="1282"/>
    </row>
    <row r="616" spans="1:4" ht="12.75" customHeight="1" x14ac:dyDescent="0.35">
      <c r="A616" s="1279"/>
      <c r="B616" s="1279"/>
      <c r="C616" s="1279" t="s">
        <v>4020</v>
      </c>
      <c r="D616" s="1282"/>
    </row>
    <row r="617" spans="1:4" ht="12.75" customHeight="1" x14ac:dyDescent="0.35">
      <c r="A617" s="1279"/>
      <c r="B617" s="1279"/>
      <c r="C617" s="1279" t="s">
        <v>4021</v>
      </c>
      <c r="D617" s="1282"/>
    </row>
    <row r="618" spans="1:4" ht="12.75" customHeight="1" x14ac:dyDescent="0.35">
      <c r="A618" s="1279"/>
      <c r="B618" s="1279"/>
      <c r="C618" s="1278" t="s">
        <v>5687</v>
      </c>
      <c r="D618" s="1282"/>
    </row>
    <row r="619" spans="1:4" ht="12.75" customHeight="1" x14ac:dyDescent="0.35">
      <c r="A619" s="1279"/>
      <c r="B619" s="1279"/>
      <c r="C619" s="1278" t="s">
        <v>5693</v>
      </c>
      <c r="D619" s="1282"/>
    </row>
    <row r="620" spans="1:4" ht="12.75" customHeight="1" x14ac:dyDescent="0.35">
      <c r="A620" s="1279"/>
      <c r="B620" s="1279"/>
      <c r="C620" s="1279" t="s">
        <v>4022</v>
      </c>
      <c r="D620" s="1282"/>
    </row>
    <row r="621" spans="1:4" ht="12.75" customHeight="1" x14ac:dyDescent="0.35">
      <c r="A621" s="1279"/>
      <c r="B621" s="1279"/>
      <c r="C621" s="1279" t="s">
        <v>4023</v>
      </c>
      <c r="D621" s="1282"/>
    </row>
    <row r="622" spans="1:4" ht="12.75" customHeight="1" x14ac:dyDescent="0.35">
      <c r="A622" s="1279"/>
      <c r="B622" s="1279"/>
      <c r="C622" s="1278" t="s">
        <v>5688</v>
      </c>
      <c r="D622" s="1282"/>
    </row>
    <row r="623" spans="1:4" ht="12.75" customHeight="1" x14ac:dyDescent="0.35">
      <c r="A623" s="1279"/>
      <c r="B623" s="1279"/>
      <c r="C623" s="1278" t="s">
        <v>5691</v>
      </c>
      <c r="D623" s="1282"/>
    </row>
    <row r="624" spans="1:4" ht="12.75" customHeight="1" x14ac:dyDescent="0.35">
      <c r="A624" s="1279"/>
      <c r="B624" s="1279"/>
      <c r="C624" s="1279" t="s">
        <v>4024</v>
      </c>
      <c r="D624" s="1282"/>
    </row>
    <row r="625" spans="1:4" ht="12.75" customHeight="1" x14ac:dyDescent="0.35">
      <c r="A625" s="1279"/>
      <c r="B625" s="1279" t="s">
        <v>4025</v>
      </c>
      <c r="C625" s="1279"/>
      <c r="D625" s="1279"/>
    </row>
    <row r="626" spans="1:4" ht="12.75" customHeight="1" x14ac:dyDescent="0.35">
      <c r="A626" s="1279"/>
      <c r="B626" s="1279" t="s">
        <v>4026</v>
      </c>
      <c r="C626" s="1279"/>
      <c r="D626" s="1279"/>
    </row>
    <row r="627" spans="1:4" ht="12.75" customHeight="1" x14ac:dyDescent="0.35">
      <c r="A627" s="1279"/>
      <c r="B627" s="1279"/>
      <c r="C627" s="1279"/>
      <c r="D627" s="1279"/>
    </row>
    <row r="628" spans="1:4" ht="12.75" customHeight="1" x14ac:dyDescent="0.35">
      <c r="A628" s="1279"/>
      <c r="B628" s="1279"/>
      <c r="C628" s="1279"/>
      <c r="D628" s="1279"/>
    </row>
    <row r="629" spans="1:4" ht="12.75" customHeight="1" x14ac:dyDescent="0.35">
      <c r="A629" s="1279"/>
      <c r="B629" s="1279"/>
      <c r="C629" s="1279"/>
      <c r="D629" s="1279"/>
    </row>
    <row r="630" spans="1:4" ht="12.75" customHeight="1" x14ac:dyDescent="0.35">
      <c r="A630" s="1279"/>
      <c r="B630" s="1279" t="s">
        <v>4027</v>
      </c>
      <c r="C630" s="1279"/>
      <c r="D630" s="1279"/>
    </row>
    <row r="631" spans="1:4" ht="12.75" customHeight="1" x14ac:dyDescent="0.35">
      <c r="A631" s="1279"/>
      <c r="B631" s="1279"/>
      <c r="C631" s="1279"/>
      <c r="D631" s="1279"/>
    </row>
    <row r="632" spans="1:4" ht="12.75" customHeight="1" x14ac:dyDescent="0.35">
      <c r="A632" s="1279"/>
      <c r="B632" s="1279" t="s">
        <v>3908</v>
      </c>
      <c r="C632" s="1279"/>
      <c r="D632" s="1279"/>
    </row>
    <row r="633" spans="1:4" ht="12.75" customHeight="1" x14ac:dyDescent="0.35">
      <c r="A633" s="1279"/>
      <c r="B633" s="1279" t="s">
        <v>4028</v>
      </c>
      <c r="C633" s="1279"/>
      <c r="D633" s="1279"/>
    </row>
    <row r="634" spans="1:4" ht="12.75" customHeight="1" x14ac:dyDescent="0.35">
      <c r="A634" s="1279"/>
      <c r="B634" s="1279"/>
      <c r="C634" s="1279" t="s">
        <v>4029</v>
      </c>
      <c r="D634" s="1279"/>
    </row>
    <row r="635" spans="1:4" ht="12.75" customHeight="1" x14ac:dyDescent="0.35">
      <c r="A635" s="1279"/>
      <c r="B635" s="1279"/>
      <c r="C635" s="1279"/>
      <c r="D635" s="1279"/>
    </row>
    <row r="636" spans="1:4" ht="12.75" customHeight="1" x14ac:dyDescent="0.35">
      <c r="A636" s="1279"/>
      <c r="B636" s="1279"/>
      <c r="C636" s="1279"/>
      <c r="D636" s="1279"/>
    </row>
    <row r="637" spans="1:4" ht="12.75" customHeight="1" x14ac:dyDescent="0.35">
      <c r="A637" s="1279"/>
      <c r="B637" s="1279"/>
      <c r="C637" s="1279"/>
      <c r="D637" s="1279"/>
    </row>
    <row r="638" spans="1:4" ht="12.75" customHeight="1" x14ac:dyDescent="0.35">
      <c r="A638" s="1279"/>
      <c r="B638" s="1279"/>
      <c r="C638" s="1279"/>
      <c r="D638" s="1279"/>
    </row>
    <row r="639" spans="1:4" ht="12.75" customHeight="1" x14ac:dyDescent="0.35">
      <c r="A639" s="1279"/>
      <c r="B639" s="1279"/>
      <c r="C639" s="1279"/>
      <c r="D639" s="1279"/>
    </row>
    <row r="640" spans="1:4" ht="12.75" customHeight="1" x14ac:dyDescent="0.35">
      <c r="A640" s="1279"/>
      <c r="B640" s="1279"/>
      <c r="C640" s="1279"/>
      <c r="D640" s="1279"/>
    </row>
    <row r="641" spans="1:4" ht="12.75" customHeight="1" x14ac:dyDescent="0.35">
      <c r="A641" s="1279"/>
      <c r="B641" s="1279"/>
      <c r="C641" s="1279"/>
      <c r="D641" s="1279"/>
    </row>
    <row r="642" spans="1:4" ht="12.75" customHeight="1" x14ac:dyDescent="0.35">
      <c r="A642" s="1279"/>
      <c r="B642" s="1279"/>
      <c r="C642" s="1279"/>
      <c r="D642" s="1279"/>
    </row>
    <row r="643" spans="1:4" ht="12.75" customHeight="1" x14ac:dyDescent="0.35">
      <c r="A643" s="1279"/>
      <c r="B643" s="1279"/>
      <c r="C643" s="1279"/>
      <c r="D643" s="1279"/>
    </row>
    <row r="644" spans="1:4" ht="12.75" customHeight="1" x14ac:dyDescent="0.35">
      <c r="A644" s="1279"/>
      <c r="B644" s="1279"/>
      <c r="C644" s="1279"/>
      <c r="D644" s="1279"/>
    </row>
    <row r="645" spans="1:4" ht="12.75" customHeight="1" x14ac:dyDescent="0.35">
      <c r="A645" s="1279"/>
      <c r="B645" s="1279"/>
      <c r="C645" s="1279" t="s">
        <v>3957</v>
      </c>
      <c r="D645" s="1279"/>
    </row>
    <row r="646" spans="1:4" ht="12.75" customHeight="1" x14ac:dyDescent="0.35">
      <c r="A646" s="1279"/>
      <c r="B646" s="1279"/>
      <c r="C646" s="1279"/>
      <c r="D646" s="1279"/>
    </row>
    <row r="647" spans="1:4" ht="12.75" customHeight="1" x14ac:dyDescent="0.35">
      <c r="A647" s="1279"/>
      <c r="B647" s="1279"/>
      <c r="C647" s="1279"/>
      <c r="D647" s="1279"/>
    </row>
    <row r="648" spans="1:4" ht="12.75" customHeight="1" x14ac:dyDescent="0.35">
      <c r="A648" s="1279"/>
      <c r="B648" s="1279"/>
      <c r="C648" s="1279"/>
      <c r="D648" s="1279"/>
    </row>
    <row r="649" spans="1:4" ht="12.75" customHeight="1" x14ac:dyDescent="0.35">
      <c r="A649" s="1279"/>
      <c r="B649" s="1279"/>
      <c r="C649" s="1279"/>
      <c r="D649" s="1279"/>
    </row>
    <row r="650" spans="1:4" ht="12.75" customHeight="1" x14ac:dyDescent="0.35">
      <c r="A650" s="1279"/>
      <c r="B650" s="1279"/>
      <c r="C650" s="1279"/>
      <c r="D650" s="1279"/>
    </row>
    <row r="651" spans="1:4" ht="12.75" customHeight="1" x14ac:dyDescent="0.35">
      <c r="A651" s="1279"/>
      <c r="B651" s="1279"/>
      <c r="C651" s="1279"/>
      <c r="D651" s="1279"/>
    </row>
    <row r="652" spans="1:4" ht="12.75" customHeight="1" x14ac:dyDescent="0.35">
      <c r="A652" s="1279"/>
      <c r="B652" s="1279"/>
      <c r="C652" s="1279"/>
      <c r="D652" s="1279"/>
    </row>
    <row r="653" spans="1:4" ht="12.75" customHeight="1" x14ac:dyDescent="0.35">
      <c r="A653" s="1279"/>
      <c r="B653" s="1279"/>
      <c r="C653" s="1279"/>
      <c r="D653" s="1279"/>
    </row>
    <row r="654" spans="1:4" ht="12.75" customHeight="1" x14ac:dyDescent="0.35">
      <c r="A654" s="1279"/>
      <c r="B654" s="1279"/>
      <c r="C654" s="1279"/>
      <c r="D654" s="1279"/>
    </row>
    <row r="655" spans="1:4" ht="12.75" customHeight="1" x14ac:dyDescent="0.35">
      <c r="A655" s="1279"/>
      <c r="B655" s="1279"/>
      <c r="C655" s="1279"/>
      <c r="D655" s="1279"/>
    </row>
    <row r="656" spans="1:4" ht="12.75" customHeight="1" x14ac:dyDescent="0.35">
      <c r="A656" s="1279"/>
      <c r="B656" s="1279"/>
      <c r="C656" s="1279" t="s">
        <v>3963</v>
      </c>
      <c r="D656" s="1279"/>
    </row>
    <row r="657" spans="1:4" ht="12.75" customHeight="1" x14ac:dyDescent="0.35">
      <c r="A657" s="1279"/>
      <c r="B657" s="1279"/>
      <c r="C657" s="1279"/>
      <c r="D657" s="1279"/>
    </row>
    <row r="658" spans="1:4" ht="12.75" customHeight="1" x14ac:dyDescent="0.35">
      <c r="A658" s="1279"/>
      <c r="B658" s="1279"/>
      <c r="C658" s="1279"/>
      <c r="D658" s="1279"/>
    </row>
    <row r="659" spans="1:4" ht="12.75" customHeight="1" x14ac:dyDescent="0.35">
      <c r="A659" s="1279"/>
      <c r="B659" s="1279"/>
      <c r="C659" s="1279"/>
      <c r="D659" s="1279"/>
    </row>
    <row r="660" spans="1:4" ht="12.75" customHeight="1" x14ac:dyDescent="0.35">
      <c r="A660" s="1279"/>
      <c r="B660" s="1279"/>
      <c r="C660" s="1279"/>
      <c r="D660" s="1279"/>
    </row>
    <row r="661" spans="1:4" ht="12.75" customHeight="1" x14ac:dyDescent="0.35">
      <c r="A661" s="1279"/>
      <c r="B661" s="1279"/>
      <c r="C661" s="1279"/>
      <c r="D661" s="1279"/>
    </row>
    <row r="662" spans="1:4" ht="12.75" customHeight="1" x14ac:dyDescent="0.35">
      <c r="A662" s="1279"/>
      <c r="B662" s="1279"/>
      <c r="C662" s="1279"/>
      <c r="D662" s="1279"/>
    </row>
    <row r="663" spans="1:4" ht="12.75" customHeight="1" x14ac:dyDescent="0.35">
      <c r="A663" s="1279"/>
      <c r="B663" s="1279"/>
      <c r="C663" s="1279"/>
      <c r="D663" s="1279"/>
    </row>
    <row r="664" spans="1:4" ht="12.75" customHeight="1" x14ac:dyDescent="0.35">
      <c r="A664" s="1279"/>
      <c r="B664" s="1279"/>
      <c r="C664" s="1279"/>
      <c r="D664" s="1279"/>
    </row>
    <row r="665" spans="1:4" ht="12.75" customHeight="1" x14ac:dyDescent="0.35">
      <c r="A665" s="1279"/>
      <c r="B665" s="1279"/>
      <c r="C665" s="1279"/>
      <c r="D665" s="1279"/>
    </row>
    <row r="666" spans="1:4" ht="12.75" customHeight="1" x14ac:dyDescent="0.35">
      <c r="A666" s="1279"/>
      <c r="B666" s="1279"/>
      <c r="C666" s="1279"/>
      <c r="D666" s="1279"/>
    </row>
    <row r="667" spans="1:4" ht="12.75" customHeight="1" x14ac:dyDescent="0.35">
      <c r="A667" s="1279"/>
      <c r="B667" s="1279"/>
      <c r="C667" s="1279" t="s">
        <v>3974</v>
      </c>
      <c r="D667" s="1279"/>
    </row>
    <row r="668" spans="1:4" ht="12.75" customHeight="1" x14ac:dyDescent="0.35">
      <c r="A668" s="1279"/>
      <c r="B668" s="1279"/>
      <c r="C668" s="1279"/>
      <c r="D668" s="1279"/>
    </row>
    <row r="669" spans="1:4" ht="12.75" customHeight="1" x14ac:dyDescent="0.35">
      <c r="A669" s="1279"/>
      <c r="B669" s="1279"/>
      <c r="C669" s="1279" t="s">
        <v>4025</v>
      </c>
      <c r="D669" s="1279"/>
    </row>
    <row r="670" spans="1:4" ht="12.75" customHeight="1" x14ac:dyDescent="0.35">
      <c r="A670" s="1279"/>
      <c r="B670" s="1279"/>
      <c r="C670" s="1279"/>
      <c r="D670" s="1279"/>
    </row>
    <row r="671" spans="1:4" ht="12.75" customHeight="1" x14ac:dyDescent="0.35">
      <c r="A671" s="1279"/>
      <c r="B671" s="1279"/>
      <c r="C671" s="1279"/>
      <c r="D671" s="1279"/>
    </row>
    <row r="672" spans="1:4" ht="12.75" customHeight="1" x14ac:dyDescent="0.35">
      <c r="A672" s="1279"/>
      <c r="B672" s="1279"/>
      <c r="C672" s="1279"/>
      <c r="D672" s="1279"/>
    </row>
    <row r="673" spans="1:4" ht="12.75" customHeight="1" x14ac:dyDescent="0.35">
      <c r="A673" s="1279"/>
      <c r="B673" s="1279" t="s">
        <v>4028</v>
      </c>
      <c r="C673" s="1279"/>
      <c r="D673" s="1279"/>
    </row>
    <row r="674" spans="1:4" ht="12.75" customHeight="1" x14ac:dyDescent="0.35">
      <c r="A674" s="1279"/>
      <c r="B674" s="1279" t="s">
        <v>4030</v>
      </c>
      <c r="C674" s="1279"/>
      <c r="D674" s="1279"/>
    </row>
    <row r="675" spans="1:4" ht="12.75" customHeight="1" x14ac:dyDescent="0.35">
      <c r="A675" s="1279"/>
      <c r="B675" s="1279" t="s">
        <v>4031</v>
      </c>
      <c r="C675" s="1279"/>
      <c r="D675" s="1279"/>
    </row>
    <row r="676" spans="1:4" ht="12.75" customHeight="1" x14ac:dyDescent="0.35">
      <c r="A676" s="1279"/>
      <c r="B676" s="1279" t="s">
        <v>4032</v>
      </c>
      <c r="C676" s="1279"/>
      <c r="D676" s="1279"/>
    </row>
    <row r="677" spans="1:4" ht="12.75" customHeight="1" x14ac:dyDescent="0.35">
      <c r="A677" s="1279"/>
      <c r="B677" s="1279"/>
      <c r="C677" s="1279" t="s">
        <v>4033</v>
      </c>
      <c r="D677" s="1279"/>
    </row>
    <row r="678" spans="1:4" ht="12.75" customHeight="1" x14ac:dyDescent="0.35">
      <c r="A678" s="1279"/>
      <c r="B678" s="1279"/>
      <c r="C678" s="1279"/>
      <c r="D678" s="1279"/>
    </row>
    <row r="679" spans="1:4" ht="12.75" customHeight="1" x14ac:dyDescent="0.35">
      <c r="A679" s="1279"/>
      <c r="B679" s="1279"/>
      <c r="C679" s="1279" t="s">
        <v>4034</v>
      </c>
      <c r="D679" s="1279"/>
    </row>
    <row r="680" spans="1:4" ht="12.75" customHeight="1" x14ac:dyDescent="0.35">
      <c r="A680" s="1279"/>
      <c r="B680" s="1279" t="str">
        <f>"Свободный Денежный Поток "&amp;IF(FCFEinUse&lt;&gt;1,"(FCF)","для компании (FCFF)")</f>
        <v>Свободный Денежный Поток (FCF)</v>
      </c>
      <c r="C680" s="1279"/>
      <c r="D680" s="1279"/>
    </row>
    <row r="681" spans="1:4" ht="12.75" customHeight="1" x14ac:dyDescent="0.35">
      <c r="A681" s="1279"/>
      <c r="B681" s="1279" t="str">
        <f>"Дисконтированный Свободный Денежный Поток "&amp;IF(FCFEinUse&lt;&gt;1,"(DFCF)","для компании (DFCFF)")</f>
        <v>Дисконтированный Свободный Денежный Поток (DFCF)</v>
      </c>
      <c r="C681" s="1279"/>
      <c r="D681" s="1279"/>
    </row>
    <row r="682" spans="1:4" ht="12.75" customHeight="1" x14ac:dyDescent="0.35">
      <c r="A682" s="1279"/>
      <c r="B682" s="1279" t="str">
        <f>"Кумулятивный Дисконт. Свободный Денежный Поток"&amp;IF(FCFEinUse&lt;&gt;1,""," для компании")</f>
        <v>Кумулятивный Дисконт. Свободный Денежный Поток</v>
      </c>
      <c r="C682" s="1279"/>
      <c r="D682" s="1279"/>
    </row>
    <row r="683" spans="1:4" ht="12.75" customHeight="1" x14ac:dyDescent="0.35">
      <c r="A683" s="1279"/>
      <c r="B683" s="1279" t="s">
        <v>4035</v>
      </c>
      <c r="C683" s="1279"/>
      <c r="D683" s="1279"/>
    </row>
    <row r="684" spans="1:4" ht="12.75" customHeight="1" x14ac:dyDescent="0.35">
      <c r="A684" s="1279"/>
      <c r="B684" s="1279" t="s">
        <v>4036</v>
      </c>
      <c r="C684" s="1279"/>
      <c r="D684" s="1279"/>
    </row>
    <row r="685" spans="1:4" ht="12.75" customHeight="1" x14ac:dyDescent="0.35">
      <c r="A685" s="1279"/>
      <c r="B685" s="1279" t="s">
        <v>4037</v>
      </c>
      <c r="C685" s="1279"/>
      <c r="D685" s="1279"/>
    </row>
    <row r="686" spans="1:4" ht="12.75" customHeight="1" x14ac:dyDescent="0.35">
      <c r="A686" s="1279"/>
      <c r="B686" s="1279" t="s">
        <v>4038</v>
      </c>
      <c r="C686" s="1279"/>
      <c r="D686" s="1279"/>
    </row>
    <row r="687" spans="1:4" ht="12.75" customHeight="1" x14ac:dyDescent="0.35">
      <c r="A687" s="1279"/>
      <c r="B687" s="1279"/>
      <c r="C687" s="1279" t="s">
        <v>3971</v>
      </c>
      <c r="D687" s="1279"/>
    </row>
    <row r="688" spans="1:4" ht="12.75" customHeight="1" x14ac:dyDescent="0.35">
      <c r="A688" s="1279"/>
      <c r="B688" s="1279"/>
      <c r="C688" s="1279" t="s">
        <v>4039</v>
      </c>
      <c r="D688" s="1279"/>
    </row>
    <row r="689" spans="1:4" ht="12.75" customHeight="1" x14ac:dyDescent="0.35">
      <c r="A689" s="1279"/>
      <c r="B689" s="1279"/>
      <c r="C689" s="1279" t="s">
        <v>4040</v>
      </c>
      <c r="D689" s="1279"/>
    </row>
    <row r="690" spans="1:4" ht="12.75" customHeight="1" x14ac:dyDescent="0.35">
      <c r="A690" s="1279"/>
      <c r="B690" s="1279"/>
      <c r="C690" s="1279" t="s">
        <v>4041</v>
      </c>
      <c r="D690" s="1279"/>
    </row>
    <row r="691" spans="1:4" ht="12.75" customHeight="1" x14ac:dyDescent="0.35">
      <c r="A691" s="1279"/>
      <c r="B691" s="1279"/>
      <c r="C691" s="1279" t="str">
        <f>C689</f>
        <v>Долгосрочная задолж., увелич.(+) / уменьш.(-)</v>
      </c>
      <c r="D691" s="1279"/>
    </row>
    <row r="692" spans="1:4" ht="12.75" customHeight="1" x14ac:dyDescent="0.35">
      <c r="A692" s="1279"/>
      <c r="B692" s="1279"/>
      <c r="C692" s="1279" t="s">
        <v>4042</v>
      </c>
      <c r="D692" s="1279"/>
    </row>
    <row r="693" spans="1:4" ht="12.75" customHeight="1" x14ac:dyDescent="0.35">
      <c r="A693" s="1279"/>
      <c r="B693" s="1279"/>
      <c r="C693" s="1279" t="s">
        <v>4043</v>
      </c>
      <c r="D693" s="1279"/>
    </row>
    <row r="694" spans="1:4" ht="12.75" customHeight="1" x14ac:dyDescent="0.35">
      <c r="A694" s="1279"/>
      <c r="B694" s="1279"/>
      <c r="C694" s="1278" t="s">
        <v>5689</v>
      </c>
      <c r="D694" s="1279"/>
    </row>
    <row r="695" spans="1:4" ht="12.75" customHeight="1" x14ac:dyDescent="0.35">
      <c r="A695" s="1279"/>
      <c r="B695" s="1279"/>
      <c r="C695" s="1279" t="s">
        <v>4044</v>
      </c>
      <c r="D695" s="1279"/>
    </row>
    <row r="696" spans="1:4" ht="12.75" customHeight="1" x14ac:dyDescent="0.35">
      <c r="A696" s="1279"/>
      <c r="B696" s="1279"/>
      <c r="C696" s="1279" t="s">
        <v>4045</v>
      </c>
      <c r="D696" s="1279"/>
    </row>
    <row r="697" spans="1:4" ht="12.75" customHeight="1" x14ac:dyDescent="0.35">
      <c r="A697" s="1279"/>
      <c r="B697" s="1279" t="s">
        <v>4046</v>
      </c>
      <c r="C697" s="1279"/>
      <c r="D697" s="1279"/>
    </row>
    <row r="698" spans="1:4" ht="12.75" customHeight="1" x14ac:dyDescent="0.35">
      <c r="A698" s="1279"/>
      <c r="B698" s="1279" t="s">
        <v>4047</v>
      </c>
      <c r="C698" s="1279"/>
      <c r="D698" s="1279"/>
    </row>
    <row r="699" spans="1:4" ht="12.75" customHeight="1" x14ac:dyDescent="0.35">
      <c r="A699" s="1279"/>
      <c r="B699" s="1279" t="s">
        <v>4048</v>
      </c>
      <c r="C699" s="1279"/>
      <c r="D699" s="1279"/>
    </row>
    <row r="700" spans="1:4" ht="12.75" customHeight="1" x14ac:dyDescent="0.35">
      <c r="A700" s="1279"/>
      <c r="B700" s="1279" t="s">
        <v>4049</v>
      </c>
      <c r="C700" s="1279"/>
      <c r="D700" s="1279"/>
    </row>
    <row r="701" spans="1:4" ht="12.75" customHeight="1" x14ac:dyDescent="0.35">
      <c r="A701" s="1279"/>
      <c r="B701" s="1279"/>
      <c r="C701" s="1279" t="s">
        <v>4050</v>
      </c>
      <c r="D701" s="1279"/>
    </row>
    <row r="702" spans="1:4" ht="12.75" customHeight="1" x14ac:dyDescent="0.35">
      <c r="A702" s="1279"/>
      <c r="B702" s="1279"/>
      <c r="C702" s="1279" t="s">
        <v>4051</v>
      </c>
      <c r="D702" s="1279"/>
    </row>
    <row r="703" spans="1:4" ht="12.75" customHeight="1" x14ac:dyDescent="0.35">
      <c r="A703" s="1279"/>
      <c r="B703" s="1279"/>
      <c r="C703" s="1279" t="s">
        <v>4052</v>
      </c>
      <c r="D703" s="1279"/>
    </row>
    <row r="704" spans="1:4" ht="12.75" customHeight="1" x14ac:dyDescent="0.35">
      <c r="A704" s="1279"/>
      <c r="B704" s="1279"/>
      <c r="C704" s="1279" t="s">
        <v>4053</v>
      </c>
      <c r="D704" s="1279"/>
    </row>
    <row r="705" spans="1:4" ht="12.75" customHeight="1" x14ac:dyDescent="0.35">
      <c r="A705" s="1279"/>
      <c r="B705" s="1279"/>
      <c r="C705" s="1279" t="s">
        <v>4054</v>
      </c>
      <c r="D705" s="1279"/>
    </row>
    <row r="706" spans="1:4" ht="12.75" customHeight="1" x14ac:dyDescent="0.35">
      <c r="A706" s="1279"/>
      <c r="B706" s="1280"/>
      <c r="C706" s="1279" t="s">
        <v>4055</v>
      </c>
      <c r="D706" s="1279"/>
    </row>
    <row r="707" spans="1:4" ht="12.75" customHeight="1" x14ac:dyDescent="0.35">
      <c r="A707" s="1279"/>
      <c r="B707" s="1279" t="s">
        <v>4056</v>
      </c>
      <c r="C707" s="1279"/>
      <c r="D707" s="1279"/>
    </row>
    <row r="708" spans="1:4" ht="12.75" customHeight="1" x14ac:dyDescent="0.35">
      <c r="A708" s="1279"/>
      <c r="B708" s="1279" t="s">
        <v>4057</v>
      </c>
      <c r="C708" s="1279"/>
      <c r="D708" s="1279"/>
    </row>
    <row r="709" spans="1:4" ht="12.75" customHeight="1" x14ac:dyDescent="0.35">
      <c r="A709" s="1279"/>
      <c r="B709" s="1279"/>
      <c r="C709" s="1279"/>
      <c r="D709" s="1279"/>
    </row>
    <row r="710" spans="1:4" ht="12.75" customHeight="1" x14ac:dyDescent="0.35">
      <c r="A710" s="1279"/>
      <c r="B710" s="1279"/>
      <c r="C710" s="1279"/>
      <c r="D710" s="1279"/>
    </row>
    <row r="711" spans="1:4" ht="12.75" customHeight="1" x14ac:dyDescent="0.35">
      <c r="A711" s="1279"/>
      <c r="B711" s="1279"/>
      <c r="C711" s="1279"/>
      <c r="D711" s="1279"/>
    </row>
    <row r="712" spans="1:4" ht="12.75" customHeight="1" x14ac:dyDescent="0.35">
      <c r="A712" s="1279"/>
      <c r="B712" s="1279" t="s">
        <v>4058</v>
      </c>
      <c r="C712" s="1279"/>
      <c r="D712" s="1279"/>
    </row>
    <row r="713" spans="1:4" ht="12.75" customHeight="1" x14ac:dyDescent="0.35">
      <c r="A713" s="1279"/>
      <c r="B713" s="1279"/>
      <c r="C713" s="1279"/>
      <c r="D713" s="1279"/>
    </row>
    <row r="714" spans="1:4" ht="12.75" customHeight="1" x14ac:dyDescent="0.35">
      <c r="A714" s="1279"/>
      <c r="B714" s="1279" t="s">
        <v>3908</v>
      </c>
      <c r="C714" s="1279"/>
      <c r="D714" s="1279"/>
    </row>
    <row r="715" spans="1:4" ht="12.75" customHeight="1" x14ac:dyDescent="0.35">
      <c r="A715" s="1279"/>
      <c r="B715" s="1279" t="s">
        <v>4059</v>
      </c>
      <c r="C715" s="1279"/>
      <c r="D715" s="1279" t="s">
        <v>4060</v>
      </c>
    </row>
    <row r="716" spans="1:4" ht="12.75" customHeight="1" x14ac:dyDescent="0.35">
      <c r="A716" s="1279"/>
      <c r="B716" s="1279" t="s">
        <v>4061</v>
      </c>
      <c r="C716" s="1279"/>
      <c r="D716" s="1279"/>
    </row>
    <row r="717" spans="1:4" ht="12.75" customHeight="1" x14ac:dyDescent="0.35">
      <c r="A717" s="1279"/>
      <c r="B717" s="1279"/>
      <c r="C717" s="1279" t="s">
        <v>4062</v>
      </c>
      <c r="D717" s="1279"/>
    </row>
    <row r="718" spans="1:4" ht="12.75" customHeight="1" x14ac:dyDescent="0.35">
      <c r="A718" s="1279"/>
      <c r="B718" s="1279"/>
      <c r="C718" s="1279" t="s">
        <v>4063</v>
      </c>
      <c r="D718" s="1279"/>
    </row>
    <row r="719" spans="1:4" ht="12.75" customHeight="1" x14ac:dyDescent="0.35">
      <c r="A719" s="1279"/>
      <c r="B719" s="1279"/>
      <c r="C719" s="1279" t="s">
        <v>4064</v>
      </c>
      <c r="D719" s="1279"/>
    </row>
    <row r="720" spans="1:4" ht="12.75" customHeight="1" x14ac:dyDescent="0.35">
      <c r="A720" s="1279"/>
      <c r="B720" s="1279"/>
      <c r="C720" s="1279" t="s">
        <v>4063</v>
      </c>
      <c r="D720" s="1279"/>
    </row>
    <row r="721" spans="1:4" ht="12.75" customHeight="1" x14ac:dyDescent="0.35">
      <c r="A721" s="1279"/>
      <c r="B721" s="1279"/>
      <c r="C721" s="1279" t="s">
        <v>4065</v>
      </c>
      <c r="D721" s="1279"/>
    </row>
    <row r="722" spans="1:4" ht="12.75" customHeight="1" x14ac:dyDescent="0.35">
      <c r="A722" s="1279"/>
      <c r="B722" s="1279"/>
      <c r="C722" s="1279" t="s">
        <v>4066</v>
      </c>
      <c r="D722" s="1279"/>
    </row>
    <row r="723" spans="1:4" ht="12.75" customHeight="1" x14ac:dyDescent="0.35">
      <c r="A723" s="1279"/>
      <c r="B723" s="1279"/>
      <c r="C723" s="1279" t="s">
        <v>4067</v>
      </c>
      <c r="D723" s="1279"/>
    </row>
    <row r="724" spans="1:4" ht="12.75" customHeight="1" x14ac:dyDescent="0.35">
      <c r="A724" s="1279"/>
      <c r="B724" s="1279"/>
      <c r="C724" s="1279" t="s">
        <v>4068</v>
      </c>
      <c r="D724" s="1279"/>
    </row>
    <row r="725" spans="1:4" ht="12.75" customHeight="1" x14ac:dyDescent="0.35">
      <c r="A725" s="1279"/>
      <c r="B725" s="1279"/>
      <c r="C725" s="1279" t="s">
        <v>4065</v>
      </c>
      <c r="D725" s="1279"/>
    </row>
    <row r="726" spans="1:4" ht="12.75" customHeight="1" x14ac:dyDescent="0.35">
      <c r="A726" s="1279"/>
      <c r="B726" s="1279"/>
      <c r="C726" s="1279" t="s">
        <v>3944</v>
      </c>
      <c r="D726" s="1279"/>
    </row>
    <row r="727" spans="1:4" ht="12.75" customHeight="1" x14ac:dyDescent="0.35">
      <c r="A727" s="1279"/>
      <c r="B727" s="1279"/>
      <c r="C727" s="1279" t="s">
        <v>4069</v>
      </c>
      <c r="D727" s="1279"/>
    </row>
    <row r="728" spans="1:4" ht="12.75" customHeight="1" x14ac:dyDescent="0.35">
      <c r="A728" s="1279"/>
      <c r="B728" s="1279"/>
      <c r="C728" s="1279" t="s">
        <v>3944</v>
      </c>
      <c r="D728" s="1279"/>
    </row>
    <row r="729" spans="1:4" ht="12.75" customHeight="1" x14ac:dyDescent="0.35">
      <c r="A729" s="1279"/>
      <c r="B729" s="1279"/>
      <c r="C729" s="1279" t="s">
        <v>4065</v>
      </c>
      <c r="D729" s="1279"/>
    </row>
    <row r="730" spans="1:4" ht="12.75" customHeight="1" x14ac:dyDescent="0.35">
      <c r="A730" s="1279"/>
      <c r="B730" s="1279"/>
      <c r="C730" s="1279" t="s">
        <v>4070</v>
      </c>
      <c r="D730" s="1279"/>
    </row>
    <row r="731" spans="1:4" ht="12.75" customHeight="1" x14ac:dyDescent="0.35">
      <c r="A731" s="1279"/>
      <c r="B731" s="1279"/>
      <c r="C731" s="1279" t="s">
        <v>4071</v>
      </c>
      <c r="D731" s="1279"/>
    </row>
    <row r="732" spans="1:4" ht="12.75" customHeight="1" x14ac:dyDescent="0.35">
      <c r="A732" s="1279"/>
      <c r="B732" s="1279"/>
      <c r="C732" s="1279" t="s">
        <v>4070</v>
      </c>
      <c r="D732" s="1279"/>
    </row>
    <row r="733" spans="1:4" ht="12.75" customHeight="1" x14ac:dyDescent="0.35">
      <c r="A733" s="1279"/>
      <c r="B733" s="1279"/>
      <c r="C733" s="1279" t="s">
        <v>4065</v>
      </c>
      <c r="D733" s="1279"/>
    </row>
    <row r="734" spans="1:4" ht="12.75" customHeight="1" x14ac:dyDescent="0.35">
      <c r="A734" s="1279"/>
      <c r="B734" s="1279"/>
      <c r="C734" s="1279" t="s">
        <v>4072</v>
      </c>
      <c r="D734" s="1279"/>
    </row>
    <row r="735" spans="1:4" ht="12.75" customHeight="1" x14ac:dyDescent="0.35">
      <c r="A735" s="1279"/>
      <c r="B735" s="1279"/>
      <c r="C735" s="1279" t="s">
        <v>4073</v>
      </c>
      <c r="D735" s="1279"/>
    </row>
    <row r="736" spans="1:4" ht="12.75" customHeight="1" x14ac:dyDescent="0.35">
      <c r="A736" s="1279"/>
      <c r="B736" s="1279"/>
      <c r="C736" s="1279" t="s">
        <v>4074</v>
      </c>
      <c r="D736" s="1279"/>
    </row>
    <row r="737" spans="1:4" ht="12.75" customHeight="1" x14ac:dyDescent="0.35">
      <c r="A737" s="1279"/>
      <c r="B737" s="1279"/>
      <c r="C737" s="1279" t="s">
        <v>4073</v>
      </c>
      <c r="D737" s="1279"/>
    </row>
    <row r="738" spans="1:4" ht="12.75" customHeight="1" x14ac:dyDescent="0.35">
      <c r="A738" s="1279"/>
      <c r="B738" s="1279"/>
      <c r="C738" s="1279" t="s">
        <v>4065</v>
      </c>
      <c r="D738" s="1279"/>
    </row>
    <row r="739" spans="1:4" ht="12.75" customHeight="1" x14ac:dyDescent="0.35">
      <c r="A739" s="1279"/>
      <c r="B739" s="1279"/>
      <c r="C739" s="1279" t="s">
        <v>4075</v>
      </c>
      <c r="D739" s="1279"/>
    </row>
    <row r="740" spans="1:4" ht="12.75" customHeight="1" x14ac:dyDescent="0.35">
      <c r="A740" s="1279"/>
      <c r="B740" s="1279"/>
      <c r="C740" s="1279" t="s">
        <v>4076</v>
      </c>
      <c r="D740" s="1279"/>
    </row>
    <row r="741" spans="1:4" ht="12.75" customHeight="1" x14ac:dyDescent="0.35">
      <c r="A741" s="1279"/>
      <c r="B741" s="1279"/>
      <c r="C741" s="1279" t="s">
        <v>4075</v>
      </c>
      <c r="D741" s="1279"/>
    </row>
    <row r="742" spans="1:4" ht="12.75" customHeight="1" x14ac:dyDescent="0.35">
      <c r="A742" s="1279"/>
      <c r="B742" s="1279"/>
      <c r="C742" s="1279" t="s">
        <v>4065</v>
      </c>
      <c r="D742" s="1279"/>
    </row>
    <row r="743" spans="1:4" ht="12.75" customHeight="1" x14ac:dyDescent="0.35">
      <c r="A743" s="1279"/>
      <c r="B743" s="1279"/>
      <c r="C743" s="1279" t="s">
        <v>4077</v>
      </c>
      <c r="D743" s="1279"/>
    </row>
    <row r="744" spans="1:4" ht="12.75" customHeight="1" x14ac:dyDescent="0.35">
      <c r="A744" s="1279"/>
      <c r="B744" s="1279"/>
      <c r="C744" s="1279" t="s">
        <v>4078</v>
      </c>
      <c r="D744" s="1279"/>
    </row>
    <row r="745" spans="1:4" ht="12.75" customHeight="1" x14ac:dyDescent="0.35">
      <c r="A745" s="1279"/>
      <c r="B745" s="1279"/>
      <c r="C745" s="1279" t="s">
        <v>4077</v>
      </c>
      <c r="D745" s="1279"/>
    </row>
    <row r="746" spans="1:4" ht="12.75" customHeight="1" x14ac:dyDescent="0.35">
      <c r="A746" s="1279"/>
      <c r="B746" s="1279"/>
      <c r="C746" s="1279" t="s">
        <v>4065</v>
      </c>
      <c r="D746" s="1279"/>
    </row>
    <row r="747" spans="1:4" ht="12.75" customHeight="1" x14ac:dyDescent="0.35">
      <c r="A747" s="1279"/>
      <c r="B747" s="1283"/>
      <c r="C747" s="1279" t="s">
        <v>4079</v>
      </c>
      <c r="D747" s="1279"/>
    </row>
    <row r="748" spans="1:4" ht="12.75" customHeight="1" x14ac:dyDescent="0.35">
      <c r="A748" s="1279"/>
      <c r="B748" s="1283"/>
      <c r="C748" s="1279" t="s">
        <v>4080</v>
      </c>
      <c r="D748" s="1279"/>
    </row>
    <row r="749" spans="1:4" ht="12.75" customHeight="1" x14ac:dyDescent="0.35">
      <c r="A749" s="1279"/>
      <c r="B749" s="1283"/>
      <c r="C749" s="1279" t="s">
        <v>4079</v>
      </c>
      <c r="D749" s="1279"/>
    </row>
    <row r="750" spans="1:4" ht="12.75" customHeight="1" x14ac:dyDescent="0.35">
      <c r="A750" s="1279"/>
      <c r="B750" s="1280"/>
      <c r="C750" s="1279" t="s">
        <v>4065</v>
      </c>
      <c r="D750" s="1279"/>
    </row>
    <row r="751" spans="1:4" ht="12.75" customHeight="1" x14ac:dyDescent="0.35">
      <c r="A751" s="1279"/>
      <c r="B751" s="1279"/>
      <c r="C751" s="1279" t="s">
        <v>4081</v>
      </c>
      <c r="D751" s="1279"/>
    </row>
    <row r="752" spans="1:4" ht="12.75" customHeight="1" x14ac:dyDescent="0.35">
      <c r="A752" s="1279"/>
      <c r="B752" s="1279"/>
      <c r="C752" s="1279" t="s">
        <v>4082</v>
      </c>
      <c r="D752" s="1279"/>
    </row>
    <row r="753" spans="1:4" ht="12.75" customHeight="1" x14ac:dyDescent="0.35">
      <c r="A753" s="1279"/>
      <c r="B753" s="1279"/>
      <c r="C753" s="1279" t="s">
        <v>4081</v>
      </c>
      <c r="D753" s="1279"/>
    </row>
    <row r="754" spans="1:4" ht="12.75" customHeight="1" x14ac:dyDescent="0.35">
      <c r="A754" s="1279"/>
      <c r="B754" s="1279"/>
      <c r="C754" s="1279" t="s">
        <v>4065</v>
      </c>
      <c r="D754" s="1279"/>
    </row>
    <row r="755" spans="1:4" ht="12.75" customHeight="1" x14ac:dyDescent="0.35">
      <c r="A755" s="1279"/>
      <c r="B755" s="1279"/>
      <c r="C755" s="1279" t="s">
        <v>3916</v>
      </c>
      <c r="D755" s="1279"/>
    </row>
    <row r="756" spans="1:4" ht="12.75" customHeight="1" x14ac:dyDescent="0.35">
      <c r="A756" s="1279"/>
      <c r="B756" s="1279"/>
      <c r="C756" s="1279" t="s">
        <v>4083</v>
      </c>
      <c r="D756" s="1279"/>
    </row>
    <row r="757" spans="1:4" ht="12.75" customHeight="1" x14ac:dyDescent="0.35">
      <c r="A757" s="1279"/>
      <c r="B757" s="1279"/>
      <c r="C757" s="1279" t="s">
        <v>4084</v>
      </c>
      <c r="D757" s="1279"/>
    </row>
    <row r="758" spans="1:4" ht="12.75" customHeight="1" x14ac:dyDescent="0.35">
      <c r="A758" s="1279"/>
      <c r="B758" s="1279"/>
      <c r="C758" s="1279" t="s">
        <v>4083</v>
      </c>
      <c r="D758" s="1279"/>
    </row>
    <row r="759" spans="1:4" ht="12.75" customHeight="1" x14ac:dyDescent="0.35">
      <c r="A759" s="1279"/>
      <c r="B759" s="1279"/>
      <c r="C759" s="1279" t="s">
        <v>4065</v>
      </c>
      <c r="D759" s="1279"/>
    </row>
    <row r="760" spans="1:4" ht="12.75" customHeight="1" x14ac:dyDescent="0.35">
      <c r="A760" s="1279"/>
      <c r="B760" s="1279"/>
      <c r="C760" s="1279" t="s">
        <v>4085</v>
      </c>
      <c r="D760" s="1279"/>
    </row>
    <row r="761" spans="1:4" ht="12.75" customHeight="1" x14ac:dyDescent="0.35">
      <c r="A761" s="1279"/>
      <c r="B761" s="1279"/>
      <c r="C761" s="1279" t="s">
        <v>4086</v>
      </c>
      <c r="D761" s="1279"/>
    </row>
    <row r="762" spans="1:4" ht="12.75" customHeight="1" x14ac:dyDescent="0.35">
      <c r="A762" s="1279"/>
      <c r="B762" s="1279"/>
      <c r="C762" s="1279" t="s">
        <v>4085</v>
      </c>
      <c r="D762" s="1279"/>
    </row>
    <row r="763" spans="1:4" ht="12.75" customHeight="1" x14ac:dyDescent="0.35">
      <c r="A763" s="1279"/>
      <c r="B763" s="1279"/>
      <c r="C763" s="1279" t="s">
        <v>4065</v>
      </c>
      <c r="D763" s="1279"/>
    </row>
    <row r="764" spans="1:4" ht="12.75" customHeight="1" x14ac:dyDescent="0.35">
      <c r="A764" s="1279"/>
      <c r="B764" s="1279"/>
      <c r="C764" s="1279" t="s">
        <v>4087</v>
      </c>
      <c r="D764" s="1279"/>
    </row>
    <row r="765" spans="1:4" ht="12.75" customHeight="1" x14ac:dyDescent="0.35">
      <c r="A765" s="1279"/>
      <c r="B765" s="1279"/>
      <c r="C765" s="1279" t="s">
        <v>4088</v>
      </c>
      <c r="D765" s="1279"/>
    </row>
    <row r="766" spans="1:4" ht="12.75" customHeight="1" x14ac:dyDescent="0.35">
      <c r="A766" s="1279"/>
      <c r="B766" s="1279"/>
      <c r="C766" s="1279" t="s">
        <v>4087</v>
      </c>
      <c r="D766" s="1279"/>
    </row>
    <row r="767" spans="1:4" ht="12.75" customHeight="1" x14ac:dyDescent="0.35">
      <c r="A767" s="1279"/>
      <c r="B767" s="1279"/>
      <c r="C767" s="1279" t="s">
        <v>4065</v>
      </c>
      <c r="D767" s="1279"/>
    </row>
    <row r="768" spans="1:4" ht="12.75" customHeight="1" x14ac:dyDescent="0.35">
      <c r="A768" s="1279"/>
      <c r="B768" s="1279"/>
      <c r="C768" s="1279" t="s">
        <v>4089</v>
      </c>
      <c r="D768" s="1279"/>
    </row>
    <row r="769" spans="1:4" ht="12.75" customHeight="1" x14ac:dyDescent="0.35">
      <c r="A769" s="1279"/>
      <c r="B769" s="1279"/>
      <c r="C769" s="1279" t="s">
        <v>4090</v>
      </c>
      <c r="D769" s="1279"/>
    </row>
    <row r="770" spans="1:4" ht="12.75" customHeight="1" x14ac:dyDescent="0.35">
      <c r="A770" s="1279"/>
      <c r="B770" s="1279"/>
      <c r="C770" s="1279" t="s">
        <v>4089</v>
      </c>
      <c r="D770" s="1279"/>
    </row>
    <row r="771" spans="1:4" ht="12.75" customHeight="1" x14ac:dyDescent="0.35">
      <c r="A771" s="1279"/>
      <c r="B771" s="1279"/>
      <c r="C771" s="1279" t="s">
        <v>4065</v>
      </c>
      <c r="D771" s="1279"/>
    </row>
    <row r="772" spans="1:4" ht="12.75" customHeight="1" x14ac:dyDescent="0.35">
      <c r="A772" s="1279"/>
      <c r="B772" s="1279"/>
      <c r="C772" s="1279" t="s">
        <v>4091</v>
      </c>
      <c r="D772" s="1279"/>
    </row>
    <row r="773" spans="1:4" ht="12.75" customHeight="1" x14ac:dyDescent="0.35">
      <c r="A773" s="1279"/>
      <c r="B773" s="1279" t="s">
        <v>4092</v>
      </c>
      <c r="C773" s="1279"/>
      <c r="D773" s="1279"/>
    </row>
    <row r="774" spans="1:4" ht="12.75" customHeight="1" x14ac:dyDescent="0.35">
      <c r="A774" s="1279"/>
      <c r="B774" s="1279"/>
      <c r="C774" s="1279" t="s">
        <v>4093</v>
      </c>
      <c r="D774" s="1279"/>
    </row>
    <row r="775" spans="1:4" ht="12.75" customHeight="1" x14ac:dyDescent="0.35">
      <c r="A775" s="1279"/>
      <c r="B775" s="1279"/>
      <c r="C775" s="1279" t="s">
        <v>4005</v>
      </c>
      <c r="D775" s="1279"/>
    </row>
    <row r="776" spans="1:4" ht="12.75" customHeight="1" x14ac:dyDescent="0.35">
      <c r="A776" s="1279"/>
      <c r="B776" s="1279"/>
      <c r="C776" s="1278" t="s">
        <v>5685</v>
      </c>
      <c r="D776" s="1279"/>
    </row>
    <row r="777" spans="1:4" ht="12.75" customHeight="1" x14ac:dyDescent="0.35">
      <c r="A777" s="1279"/>
      <c r="B777" s="1279"/>
      <c r="C777" s="1279" t="s">
        <v>4008</v>
      </c>
      <c r="D777" s="1279"/>
    </row>
    <row r="778" spans="1:4" ht="12.75" customHeight="1" x14ac:dyDescent="0.35">
      <c r="A778" s="1279"/>
      <c r="B778" s="1279"/>
      <c r="C778" s="1278" t="s">
        <v>5686</v>
      </c>
      <c r="D778" s="1279"/>
    </row>
    <row r="779" spans="1:4" ht="12.75" customHeight="1" x14ac:dyDescent="0.35">
      <c r="A779" s="1279"/>
      <c r="B779" s="1279"/>
      <c r="C779" s="1279" t="s">
        <v>4094</v>
      </c>
      <c r="D779" s="1279"/>
    </row>
    <row r="780" spans="1:4" ht="12.75" customHeight="1" x14ac:dyDescent="0.35">
      <c r="A780" s="1279"/>
      <c r="B780" s="1279"/>
      <c r="C780" s="1279" t="s">
        <v>4095</v>
      </c>
      <c r="D780" s="1279"/>
    </row>
    <row r="781" spans="1:4" ht="12.75" customHeight="1" x14ac:dyDescent="0.35">
      <c r="A781" s="1279"/>
      <c r="B781" s="1279" t="s">
        <v>4059</v>
      </c>
      <c r="C781" s="1279"/>
      <c r="D781" s="1279"/>
    </row>
    <row r="782" spans="1:4" ht="12.75" customHeight="1" x14ac:dyDescent="0.35">
      <c r="A782" s="1279"/>
      <c r="B782" s="1279"/>
      <c r="C782" s="1279"/>
      <c r="D782" s="1279"/>
    </row>
    <row r="783" spans="1:4" ht="12.75" customHeight="1" x14ac:dyDescent="0.35">
      <c r="A783" s="1279"/>
      <c r="B783" s="1279"/>
      <c r="C783" s="1279"/>
      <c r="D783" s="1279"/>
    </row>
    <row r="784" spans="1:4" ht="12.75" customHeight="1" x14ac:dyDescent="0.35">
      <c r="A784" s="1279"/>
      <c r="B784" s="1279"/>
      <c r="C784" s="1279"/>
      <c r="D784" s="1279"/>
    </row>
    <row r="785" spans="1:4" ht="12.75" customHeight="1" x14ac:dyDescent="0.35">
      <c r="A785" s="1279"/>
      <c r="B785" s="1279"/>
      <c r="C785" s="1279"/>
      <c r="D785" s="1279"/>
    </row>
    <row r="786" spans="1:4" ht="12.75" customHeight="1" x14ac:dyDescent="0.35">
      <c r="A786" s="1279"/>
      <c r="B786" s="1279"/>
      <c r="C786" s="1279"/>
      <c r="D786" s="1279"/>
    </row>
    <row r="787" spans="1:4" ht="12.75" customHeight="1" x14ac:dyDescent="0.35">
      <c r="A787" s="1279"/>
      <c r="B787" s="1279"/>
      <c r="C787" s="1279"/>
      <c r="D787" s="1279"/>
    </row>
    <row r="788" spans="1:4" ht="12.75" customHeight="1" x14ac:dyDescent="0.35">
      <c r="A788" s="1279"/>
      <c r="B788" s="1279"/>
      <c r="C788" s="1279"/>
      <c r="D788" s="1279"/>
    </row>
    <row r="789" spans="1:4" ht="12.75" customHeight="1" x14ac:dyDescent="0.35">
      <c r="A789" s="1279"/>
      <c r="B789" s="1279"/>
      <c r="C789" s="1279"/>
      <c r="D789" s="1279"/>
    </row>
    <row r="790" spans="1:4" ht="12.75" customHeight="1" x14ac:dyDescent="0.35">
      <c r="A790" s="1279"/>
      <c r="B790" s="1279"/>
      <c r="C790" s="1279"/>
      <c r="D790" s="1279"/>
    </row>
    <row r="791" spans="1:4" ht="12.75" customHeight="1" x14ac:dyDescent="0.35">
      <c r="A791" s="1279"/>
      <c r="B791" s="1279"/>
      <c r="C791" s="1279"/>
      <c r="D791" s="1279"/>
    </row>
    <row r="792" spans="1:4" ht="12.75" customHeight="1" x14ac:dyDescent="0.35">
      <c r="A792" s="1279"/>
      <c r="B792" s="1279"/>
      <c r="C792" s="1279"/>
      <c r="D792" s="1279"/>
    </row>
    <row r="793" spans="1:4" ht="12.75" customHeight="1" x14ac:dyDescent="0.35">
      <c r="A793" s="1279"/>
      <c r="B793" s="1279"/>
      <c r="C793" s="1279"/>
      <c r="D793" s="1279"/>
    </row>
    <row r="794" spans="1:4" ht="12.75" customHeight="1" x14ac:dyDescent="0.35">
      <c r="A794" s="1279"/>
      <c r="B794" s="1279" t="s">
        <v>4096</v>
      </c>
      <c r="C794" s="1279"/>
      <c r="D794" s="1279"/>
    </row>
    <row r="795" spans="1:4" ht="12.75" customHeight="1" x14ac:dyDescent="0.35">
      <c r="A795" s="1279"/>
      <c r="B795" s="1279" t="s">
        <v>4097</v>
      </c>
      <c r="C795" s="1279"/>
      <c r="D795" s="1279"/>
    </row>
    <row r="796" spans="1:4" ht="12.75" customHeight="1" x14ac:dyDescent="0.35">
      <c r="A796" s="1279"/>
      <c r="B796" s="1279" t="s">
        <v>4098</v>
      </c>
      <c r="C796" s="1279"/>
      <c r="D796" s="1279"/>
    </row>
    <row r="797" spans="1:4" ht="12.75" customHeight="1" x14ac:dyDescent="0.35">
      <c r="A797" s="1279"/>
      <c r="B797" s="1279"/>
      <c r="C797" s="1279"/>
      <c r="D797" s="1279"/>
    </row>
    <row r="798" spans="1:4" ht="12.75" customHeight="1" x14ac:dyDescent="0.35">
      <c r="A798" s="1279"/>
      <c r="B798" s="1279" t="s">
        <v>4099</v>
      </c>
      <c r="C798" s="1279"/>
      <c r="D798" s="1279"/>
    </row>
    <row r="799" spans="1:4" ht="12.75" customHeight="1" x14ac:dyDescent="0.35">
      <c r="A799" s="1279"/>
      <c r="B799" s="1279" t="s">
        <v>4100</v>
      </c>
      <c r="C799" s="1279"/>
      <c r="D799" s="1279"/>
    </row>
    <row r="800" spans="1:4" ht="12.75" customHeight="1" x14ac:dyDescent="0.35">
      <c r="A800" s="1279"/>
      <c r="B800" s="1279"/>
      <c r="C800" s="1279" t="s">
        <v>3930</v>
      </c>
      <c r="D800" s="1279"/>
    </row>
    <row r="801" spans="1:4" ht="12.75" customHeight="1" x14ac:dyDescent="0.35">
      <c r="A801" s="1279"/>
      <c r="B801" s="1279"/>
      <c r="C801" s="1279" t="s">
        <v>3931</v>
      </c>
      <c r="D801" s="1279"/>
    </row>
    <row r="802" spans="1:4" ht="12.75" customHeight="1" x14ac:dyDescent="0.35">
      <c r="A802" s="1279"/>
      <c r="B802" s="1279"/>
      <c r="C802" s="1279" t="s">
        <v>4101</v>
      </c>
      <c r="D802" s="1279"/>
    </row>
    <row r="803" spans="1:4" ht="12.75" customHeight="1" x14ac:dyDescent="0.35">
      <c r="A803" s="1279"/>
      <c r="B803" s="1279"/>
      <c r="C803" s="1279" t="s">
        <v>3933</v>
      </c>
      <c r="D803" s="1279"/>
    </row>
    <row r="804" spans="1:4" ht="12.75" customHeight="1" x14ac:dyDescent="0.35">
      <c r="A804" s="1279"/>
      <c r="B804" s="1279"/>
      <c r="C804" s="1279" t="s">
        <v>3934</v>
      </c>
      <c r="D804" s="1279"/>
    </row>
    <row r="805" spans="1:4" ht="12.75" customHeight="1" x14ac:dyDescent="0.35">
      <c r="A805" s="1279"/>
      <c r="B805" s="1279"/>
      <c r="C805" s="1279" t="s">
        <v>4102</v>
      </c>
      <c r="D805" s="1279"/>
    </row>
    <row r="806" spans="1:4" ht="12.75" customHeight="1" x14ac:dyDescent="0.35">
      <c r="A806" s="1279"/>
      <c r="B806" s="1279" t="s">
        <v>4103</v>
      </c>
      <c r="C806" s="1279"/>
      <c r="D806" s="1279"/>
    </row>
    <row r="807" spans="1:4" ht="12.75" customHeight="1" x14ac:dyDescent="0.35">
      <c r="A807" s="1280"/>
      <c r="B807" s="1279" t="s">
        <v>4104</v>
      </c>
      <c r="C807" s="1279"/>
      <c r="D807" s="1279"/>
    </row>
    <row r="808" spans="1:4" ht="12.75" customHeight="1" x14ac:dyDescent="0.35">
      <c r="A808" s="1279"/>
      <c r="B808" s="1279" t="s">
        <v>3981</v>
      </c>
      <c r="C808" s="1279"/>
      <c r="D808" s="1279"/>
    </row>
    <row r="809" spans="1:4" ht="12.75" customHeight="1" x14ac:dyDescent="0.35">
      <c r="A809" s="1279"/>
      <c r="B809" s="1279" t="s">
        <v>4105</v>
      </c>
      <c r="C809" s="1279"/>
      <c r="D809" s="1279"/>
    </row>
    <row r="810" spans="1:4" ht="12.75" customHeight="1" x14ac:dyDescent="0.35">
      <c r="A810" s="1279"/>
      <c r="B810" s="1279"/>
      <c r="C810" s="1279" t="s">
        <v>4106</v>
      </c>
      <c r="D810" s="1279"/>
    </row>
    <row r="811" spans="1:4" ht="12.75" customHeight="1" x14ac:dyDescent="0.35">
      <c r="A811" s="1279"/>
      <c r="B811" s="1279"/>
      <c r="C811" s="1279" t="s">
        <v>3950</v>
      </c>
      <c r="D811" s="1279"/>
    </row>
    <row r="812" spans="1:4" ht="12.75" customHeight="1" x14ac:dyDescent="0.35">
      <c r="A812" s="1279"/>
      <c r="B812" s="1279"/>
      <c r="C812" s="1278" t="s">
        <v>5690</v>
      </c>
      <c r="D812" s="1279"/>
    </row>
    <row r="813" spans="1:4" ht="12.75" customHeight="1" x14ac:dyDescent="0.35">
      <c r="A813" s="1279"/>
      <c r="B813" s="1279"/>
      <c r="C813" s="1279" t="s">
        <v>4107</v>
      </c>
      <c r="D813" s="1279"/>
    </row>
    <row r="814" spans="1:4" ht="12.75" customHeight="1" x14ac:dyDescent="0.35">
      <c r="A814" s="1279"/>
      <c r="B814" s="1280"/>
      <c r="C814" s="1279" t="s">
        <v>3937</v>
      </c>
      <c r="D814" s="1279"/>
    </row>
    <row r="815" spans="1:4" ht="12.75" customHeight="1" x14ac:dyDescent="0.35">
      <c r="A815" s="1279"/>
      <c r="B815" s="1279"/>
      <c r="C815" s="1279" t="s">
        <v>4030</v>
      </c>
      <c r="D815" s="1279"/>
    </row>
    <row r="816" spans="1:4" ht="12.75" customHeight="1" x14ac:dyDescent="0.35">
      <c r="A816" s="1279"/>
      <c r="B816" s="1279"/>
      <c r="C816" s="1279" t="s">
        <v>4108</v>
      </c>
      <c r="D816" s="1279"/>
    </row>
    <row r="817" spans="1:4" ht="12.75" customHeight="1" x14ac:dyDescent="0.35">
      <c r="A817" s="1279"/>
      <c r="B817" s="1279"/>
      <c r="C817" s="1279" t="s">
        <v>4109</v>
      </c>
      <c r="D817" s="1279"/>
    </row>
    <row r="818" spans="1:4" ht="12.75" customHeight="1" x14ac:dyDescent="0.35">
      <c r="A818" s="1279"/>
      <c r="B818" s="1279"/>
      <c r="C818" s="1279" t="s">
        <v>4110</v>
      </c>
      <c r="D818" s="1279"/>
    </row>
    <row r="819" spans="1:4" ht="12.75" customHeight="1" x14ac:dyDescent="0.35">
      <c r="A819" s="1279"/>
      <c r="B819" s="1279"/>
      <c r="C819" s="1279" t="s">
        <v>4111</v>
      </c>
      <c r="D819" s="1279"/>
    </row>
    <row r="820" spans="1:4" ht="12.75" customHeight="1" x14ac:dyDescent="0.35">
      <c r="A820" s="1279"/>
      <c r="B820" s="1279"/>
      <c r="C820" s="1279" t="s">
        <v>4112</v>
      </c>
      <c r="D820" s="1279"/>
    </row>
    <row r="821" spans="1:4" ht="12.75" customHeight="1" x14ac:dyDescent="0.35">
      <c r="A821" s="1279"/>
      <c r="B821" s="1279"/>
      <c r="C821" s="1279" t="s">
        <v>4019</v>
      </c>
      <c r="D821" s="1279"/>
    </row>
    <row r="822" spans="1:4" ht="12.75" customHeight="1" x14ac:dyDescent="0.35">
      <c r="A822" s="1279"/>
      <c r="B822" s="1279"/>
      <c r="C822" s="1278" t="s">
        <v>5687</v>
      </c>
      <c r="D822" s="1279"/>
    </row>
    <row r="823" spans="1:4" ht="12.75" customHeight="1" x14ac:dyDescent="0.35">
      <c r="A823" s="1279"/>
      <c r="B823" s="1279"/>
      <c r="C823" s="1279" t="s">
        <v>4113</v>
      </c>
      <c r="D823" s="1279"/>
    </row>
    <row r="824" spans="1:4" ht="12.75" customHeight="1" x14ac:dyDescent="0.35">
      <c r="A824" s="1279"/>
      <c r="B824" s="1279"/>
      <c r="C824" s="1278" t="s">
        <v>5694</v>
      </c>
      <c r="D824" s="1279"/>
    </row>
    <row r="825" spans="1:4" ht="12.75" customHeight="1" x14ac:dyDescent="0.35">
      <c r="A825" s="1279"/>
      <c r="B825" s="1279"/>
      <c r="C825" s="1279" t="s">
        <v>4114</v>
      </c>
      <c r="D825" s="1279"/>
    </row>
    <row r="826" spans="1:4" ht="12.75" customHeight="1" x14ac:dyDescent="0.35">
      <c r="A826" s="1279"/>
      <c r="B826" s="1279"/>
      <c r="C826" s="1279" t="s">
        <v>4115</v>
      </c>
      <c r="D826" s="1279"/>
    </row>
    <row r="827" spans="1:4" ht="12.75" customHeight="1" x14ac:dyDescent="0.35">
      <c r="A827" s="1279"/>
      <c r="B827" s="1279"/>
      <c r="C827" s="1279" t="s">
        <v>4116</v>
      </c>
      <c r="D827" s="1279"/>
    </row>
    <row r="828" spans="1:4" ht="12.75" customHeight="1" x14ac:dyDescent="0.35">
      <c r="A828" s="1279"/>
      <c r="B828" s="1279" t="s">
        <v>4117</v>
      </c>
      <c r="C828" s="1279"/>
      <c r="D828" s="1279"/>
    </row>
    <row r="829" spans="1:4" ht="12.75" customHeight="1" x14ac:dyDescent="0.35">
      <c r="A829" s="1279"/>
      <c r="B829" s="1279" t="s">
        <v>4118</v>
      </c>
      <c r="C829" s="1279"/>
      <c r="D829" s="1279"/>
    </row>
    <row r="830" spans="1:4" ht="12.75" customHeight="1" x14ac:dyDescent="0.35">
      <c r="A830" s="1279"/>
      <c r="B830" s="1279" t="s">
        <v>4119</v>
      </c>
      <c r="C830" s="1279"/>
      <c r="D830" s="1279"/>
    </row>
    <row r="831" spans="1:4" ht="12.75" customHeight="1" x14ac:dyDescent="0.35">
      <c r="A831" s="1279"/>
      <c r="B831" s="1279" t="s">
        <v>3981</v>
      </c>
      <c r="C831" s="1279"/>
      <c r="D831" s="1279"/>
    </row>
    <row r="832" spans="1:4" ht="12.75" customHeight="1" x14ac:dyDescent="0.35">
      <c r="A832" s="1279"/>
      <c r="B832" s="1279" t="s">
        <v>4120</v>
      </c>
      <c r="C832" s="1279"/>
      <c r="D832" s="1279"/>
    </row>
    <row r="833" spans="1:4" ht="12.75" customHeight="1" x14ac:dyDescent="0.35">
      <c r="A833" s="1279"/>
      <c r="B833" s="1279" t="s">
        <v>3950</v>
      </c>
      <c r="C833" s="1279"/>
      <c r="D833" s="1279"/>
    </row>
    <row r="834" spans="1:4" ht="12.75" customHeight="1" x14ac:dyDescent="0.35">
      <c r="A834" s="1279"/>
      <c r="B834" s="1279" t="s">
        <v>4109</v>
      </c>
      <c r="C834" s="1279"/>
      <c r="D834" s="1279"/>
    </row>
    <row r="835" spans="1:4" ht="12.75" customHeight="1" x14ac:dyDescent="0.35">
      <c r="A835" s="1279"/>
      <c r="B835" s="1279" t="s">
        <v>4121</v>
      </c>
      <c r="C835" s="1279"/>
      <c r="D835" s="1279"/>
    </row>
    <row r="836" spans="1:4" ht="12.75" customHeight="1" x14ac:dyDescent="0.35">
      <c r="A836" s="1279"/>
      <c r="B836" s="1279" t="s">
        <v>4122</v>
      </c>
      <c r="C836" s="1279"/>
      <c r="D836" s="1279"/>
    </row>
    <row r="837" spans="1:4" ht="12.75" customHeight="1" x14ac:dyDescent="0.35">
      <c r="A837" s="1279"/>
      <c r="B837" s="1279"/>
      <c r="C837" s="1279"/>
      <c r="D837" s="1279"/>
    </row>
    <row r="838" spans="1:4" ht="12.75" customHeight="1" x14ac:dyDescent="0.35">
      <c r="A838" s="1279"/>
      <c r="B838" s="1279" t="s">
        <v>4123</v>
      </c>
      <c r="C838" s="1279"/>
      <c r="D838" s="1279"/>
    </row>
    <row r="839" spans="1:4" ht="12.75" customHeight="1" x14ac:dyDescent="0.35">
      <c r="A839" s="1279"/>
      <c r="B839" s="1279" t="s">
        <v>4124</v>
      </c>
      <c r="C839" s="1279"/>
      <c r="D839" s="1279"/>
    </row>
    <row r="840" spans="1:4" ht="12.75" customHeight="1" x14ac:dyDescent="0.35">
      <c r="A840" s="1279"/>
      <c r="B840" s="1279" t="s">
        <v>4037</v>
      </c>
      <c r="C840" s="1279"/>
      <c r="D840" s="1279"/>
    </row>
    <row r="841" spans="1:4" ht="12.75" customHeight="1" x14ac:dyDescent="0.35">
      <c r="A841" s="1279"/>
      <c r="B841" s="1279" t="s">
        <v>4125</v>
      </c>
      <c r="C841" s="1279"/>
      <c r="D841" s="1279"/>
    </row>
    <row r="842" spans="1:4" ht="12.75" customHeight="1" x14ac:dyDescent="0.35">
      <c r="A842" s="1279"/>
      <c r="B842" s="1279"/>
      <c r="C842" s="1279"/>
      <c r="D842" s="1279"/>
    </row>
    <row r="843" spans="1:4" ht="12.75" customHeight="1" x14ac:dyDescent="0.35">
      <c r="A843" s="1279"/>
      <c r="B843" s="1279"/>
      <c r="C843" s="1279"/>
      <c r="D843" s="1279"/>
    </row>
    <row r="844" spans="1:4" ht="12.75" customHeight="1" x14ac:dyDescent="0.35">
      <c r="A844" s="1279"/>
      <c r="B844" s="1279"/>
      <c r="C844" s="1279"/>
      <c r="D844" s="1279"/>
    </row>
    <row r="845" spans="1:4" ht="12.75" customHeight="1" x14ac:dyDescent="0.35">
      <c r="A845" s="1279"/>
      <c r="B845" s="1279" t="s">
        <v>4126</v>
      </c>
      <c r="C845" s="1279"/>
      <c r="D845" s="1279"/>
    </row>
    <row r="846" spans="1:4" ht="12.75" customHeight="1" x14ac:dyDescent="0.35">
      <c r="A846" s="1279"/>
      <c r="B846" s="1279"/>
      <c r="C846" s="1279"/>
      <c r="D846" s="1279"/>
    </row>
    <row r="847" spans="1:4" ht="12.75" customHeight="1" x14ac:dyDescent="0.35">
      <c r="A847" s="1279"/>
      <c r="B847" s="1279" t="s">
        <v>3908</v>
      </c>
      <c r="C847" s="1279"/>
      <c r="D847" s="1279"/>
    </row>
  </sheetData>
  <printOptions gridLines="1"/>
  <pageMargins left="0.75" right="0.75" top="1" bottom="1" header="0.5" footer="0.5"/>
  <pageSetup paperSize="9" orientation="portrait" r:id="rId1"/>
  <headerFooter>
    <oddHeader>&amp;C&amp;A</oddHeader>
    <oddFooter>&amp;CPage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9">
    <tabColor rgb="FF92D050"/>
    <pageSetUpPr autoPageBreaks="0"/>
  </sheetPr>
  <dimension ref="A1:E856"/>
  <sheetViews>
    <sheetView topLeftCell="A10" workbookViewId="0">
      <selection activeCell="H53" sqref="H53"/>
    </sheetView>
  </sheetViews>
  <sheetFormatPr defaultColWidth="9.1796875" defaultRowHeight="14.5" x14ac:dyDescent="0.35"/>
  <cols>
    <col min="1" max="1" width="0.81640625" style="1285" customWidth="1"/>
    <col min="2" max="16384" width="9.1796875" style="1285"/>
  </cols>
  <sheetData>
    <row r="1" spans="1:5" ht="12.75" hidden="1" customHeight="1" x14ac:dyDescent="0.35">
      <c r="B1" s="1285" t="s">
        <v>3901</v>
      </c>
    </row>
    <row r="2" spans="1:5" ht="12.75" hidden="1" customHeight="1" x14ac:dyDescent="0.35">
      <c r="B2" s="1285" t="s">
        <v>3902</v>
      </c>
    </row>
    <row r="3" spans="1:5" ht="12.75" hidden="1" customHeight="1" x14ac:dyDescent="0.35">
      <c r="B3" s="1285" t="s">
        <v>3903</v>
      </c>
    </row>
    <row r="4" spans="1:5" ht="12.75" hidden="1" customHeight="1" x14ac:dyDescent="0.35">
      <c r="B4" s="1285" t="s">
        <v>3904</v>
      </c>
    </row>
    <row r="5" spans="1:5" ht="12.75" hidden="1" customHeight="1" x14ac:dyDescent="0.35">
      <c r="B5" s="1285" t="s">
        <v>3905</v>
      </c>
    </row>
    <row r="6" spans="1:5" ht="12.75" hidden="1" customHeight="1" x14ac:dyDescent="0.35">
      <c r="B6" s="1285" t="s">
        <v>3906</v>
      </c>
    </row>
    <row r="7" spans="1:5" ht="12.75" hidden="1" customHeight="1" x14ac:dyDescent="0.35"/>
    <row r="8" spans="1:5" ht="12.75" hidden="1" customHeight="1" x14ac:dyDescent="0.35"/>
    <row r="9" spans="1:5" ht="12.75" hidden="1" customHeight="1" x14ac:dyDescent="0.35"/>
    <row r="10" spans="1:5" ht="12.75" customHeight="1" x14ac:dyDescent="0.35">
      <c r="A10"/>
      <c r="B10"/>
      <c r="C10"/>
      <c r="D10"/>
      <c r="E10"/>
    </row>
    <row r="11" spans="1:5" ht="12.75" customHeight="1" x14ac:dyDescent="0.35">
      <c r="A11"/>
      <c r="B11" t="s">
        <v>5735</v>
      </c>
      <c r="C11"/>
      <c r="D11"/>
      <c r="E11"/>
    </row>
    <row r="12" spans="1:5" ht="12.75" customHeight="1" x14ac:dyDescent="0.35">
      <c r="A12"/>
      <c r="B12" t="s">
        <v>5736</v>
      </c>
      <c r="C12"/>
      <c r="D12"/>
      <c r="E12"/>
    </row>
    <row r="13" spans="1:5" ht="12.75" customHeight="1" x14ac:dyDescent="0.35">
      <c r="A13"/>
      <c r="B13" t="s">
        <v>5737</v>
      </c>
      <c r="C13"/>
      <c r="D13"/>
      <c r="E13"/>
    </row>
    <row r="14" spans="1:5" ht="12.75" customHeight="1" x14ac:dyDescent="0.35">
      <c r="A14"/>
      <c r="B14"/>
      <c r="C14"/>
      <c r="D14"/>
      <c r="E14"/>
    </row>
    <row r="15" spans="1:5" ht="12.75" customHeight="1" x14ac:dyDescent="0.35">
      <c r="A15"/>
      <c r="B15" t="s">
        <v>5738</v>
      </c>
      <c r="C15"/>
      <c r="D15"/>
      <c r="E15"/>
    </row>
    <row r="16" spans="1:5" ht="12.75" customHeight="1" x14ac:dyDescent="0.35">
      <c r="A16"/>
      <c r="B16"/>
      <c r="C16"/>
      <c r="D16"/>
      <c r="E16"/>
    </row>
    <row r="17" spans="1:5" ht="12.75" customHeight="1" x14ac:dyDescent="0.35">
      <c r="A17"/>
      <c r="B17" t="s">
        <v>5736</v>
      </c>
      <c r="C17"/>
      <c r="D17" t="s">
        <v>3912</v>
      </c>
      <c r="E17"/>
    </row>
    <row r="18" spans="1:5" ht="12.75" customHeight="1" x14ac:dyDescent="0.35">
      <c r="A18"/>
      <c r="B18"/>
      <c r="C18"/>
      <c r="D18"/>
      <c r="E18"/>
    </row>
    <row r="19" spans="1:5" ht="12.75" customHeight="1" x14ac:dyDescent="0.35">
      <c r="A19"/>
      <c r="B19"/>
      <c r="C19" s="1390" t="s">
        <v>6369</v>
      </c>
      <c r="E19"/>
    </row>
    <row r="20" spans="1:5" ht="12.75" customHeight="1" x14ac:dyDescent="0.35">
      <c r="A20"/>
      <c r="B20" t="s">
        <v>6250</v>
      </c>
      <c r="C20"/>
      <c r="E20"/>
    </row>
    <row r="21" spans="1:5" ht="12.75" customHeight="1" x14ac:dyDescent="0.35">
      <c r="A21"/>
      <c r="B21"/>
      <c r="C21" t="s">
        <v>5741</v>
      </c>
      <c r="E21"/>
    </row>
    <row r="22" spans="1:5" ht="12.75" customHeight="1" x14ac:dyDescent="0.35">
      <c r="A22"/>
      <c r="B22"/>
      <c r="C22"/>
      <c r="D22"/>
      <c r="E22"/>
    </row>
    <row r="23" spans="1:5" ht="12.75" customHeight="1" x14ac:dyDescent="0.35">
      <c r="A23"/>
      <c r="B23"/>
      <c r="C23"/>
      <c r="D23"/>
      <c r="E23"/>
    </row>
    <row r="24" spans="1:5" ht="12.75" customHeight="1" x14ac:dyDescent="0.35">
      <c r="A24"/>
      <c r="B24" t="s">
        <v>5740</v>
      </c>
      <c r="C24"/>
      <c r="D24"/>
      <c r="E24"/>
    </row>
    <row r="25" spans="1:5" ht="12.75" customHeight="1" x14ac:dyDescent="0.35">
      <c r="A25"/>
      <c r="B25"/>
      <c r="C25" t="s">
        <v>5742</v>
      </c>
      <c r="D25"/>
      <c r="E25"/>
    </row>
    <row r="26" spans="1:5" ht="12.75" customHeight="1" x14ac:dyDescent="0.35">
      <c r="A26"/>
      <c r="B26"/>
      <c r="C26"/>
      <c r="D26"/>
      <c r="E26"/>
    </row>
    <row r="27" spans="1:5" ht="12.75" customHeight="1" x14ac:dyDescent="0.35">
      <c r="A27"/>
      <c r="B27"/>
      <c r="C27"/>
      <c r="D27"/>
      <c r="E27"/>
    </row>
    <row r="28" spans="1:5" ht="12.75" customHeight="1" x14ac:dyDescent="0.35">
      <c r="A28"/>
      <c r="B28"/>
      <c r="C28"/>
      <c r="D28"/>
      <c r="E28"/>
    </row>
    <row r="29" spans="1:5" ht="12.75" customHeight="1" x14ac:dyDescent="0.35">
      <c r="A29"/>
      <c r="B29"/>
      <c r="C29" s="1390" t="s">
        <v>6374</v>
      </c>
      <c r="D29"/>
      <c r="E29"/>
    </row>
    <row r="30" spans="1:5" ht="12.75" customHeight="1" x14ac:dyDescent="0.35">
      <c r="A30"/>
      <c r="B30" t="s">
        <v>3459</v>
      </c>
      <c r="C30"/>
      <c r="D30"/>
      <c r="E30"/>
    </row>
    <row r="31" spans="1:5" ht="12.75" customHeight="1" x14ac:dyDescent="0.35">
      <c r="A31"/>
      <c r="B31"/>
      <c r="C31" t="s">
        <v>5741</v>
      </c>
      <c r="D31"/>
      <c r="E31"/>
    </row>
    <row r="32" spans="1:5" ht="12.75" customHeight="1" x14ac:dyDescent="0.35">
      <c r="A32"/>
      <c r="B32"/>
      <c r="C32"/>
      <c r="D32"/>
      <c r="E32"/>
    </row>
    <row r="33" spans="1:5" ht="12.75" customHeight="1" x14ac:dyDescent="0.35">
      <c r="A33"/>
      <c r="B33"/>
      <c r="C33"/>
      <c r="D33"/>
      <c r="E33"/>
    </row>
    <row r="34" spans="1:5" ht="12.75" customHeight="1" x14ac:dyDescent="0.35">
      <c r="A34"/>
      <c r="B34" t="s">
        <v>3913</v>
      </c>
      <c r="C34"/>
      <c r="D34"/>
      <c r="E34"/>
    </row>
    <row r="35" spans="1:5" ht="12.75" customHeight="1" x14ac:dyDescent="0.35">
      <c r="A35"/>
      <c r="B35"/>
      <c r="C35" t="s">
        <v>5742</v>
      </c>
      <c r="D35"/>
      <c r="E35"/>
    </row>
    <row r="36" spans="1:5" ht="12.75" customHeight="1" x14ac:dyDescent="0.35">
      <c r="A36"/>
      <c r="B36"/>
      <c r="C36"/>
      <c r="D36"/>
      <c r="E36"/>
    </row>
    <row r="37" spans="1:5" ht="12.75" customHeight="1" x14ac:dyDescent="0.35">
      <c r="A37"/>
      <c r="B37"/>
      <c r="C37"/>
      <c r="D37"/>
      <c r="E37"/>
    </row>
    <row r="38" spans="1:5" ht="12.75" customHeight="1" x14ac:dyDescent="0.35">
      <c r="A38"/>
      <c r="B38"/>
      <c r="C38"/>
      <c r="D38"/>
      <c r="E38"/>
    </row>
    <row r="39" spans="1:5" ht="12.75" customHeight="1" x14ac:dyDescent="0.35">
      <c r="A39"/>
      <c r="B39"/>
      <c r="C39" s="1390" t="s">
        <v>6375</v>
      </c>
      <c r="D39"/>
      <c r="E39"/>
    </row>
    <row r="40" spans="1:5" ht="12.75" customHeight="1" x14ac:dyDescent="0.35">
      <c r="A40"/>
      <c r="B40" t="s">
        <v>3459</v>
      </c>
      <c r="C40"/>
      <c r="D40"/>
      <c r="E40"/>
    </row>
    <row r="41" spans="1:5" ht="12.75" customHeight="1" x14ac:dyDescent="0.35">
      <c r="A41"/>
      <c r="B41"/>
      <c r="C41" t="s">
        <v>5741</v>
      </c>
      <c r="D41"/>
      <c r="E41"/>
    </row>
    <row r="42" spans="1:5" ht="12.75" customHeight="1" x14ac:dyDescent="0.35">
      <c r="A42"/>
      <c r="B42"/>
      <c r="C42"/>
      <c r="D42"/>
      <c r="E42"/>
    </row>
    <row r="43" spans="1:5" ht="12.75" customHeight="1" x14ac:dyDescent="0.35">
      <c r="A43"/>
      <c r="B43"/>
      <c r="C43"/>
      <c r="D43"/>
      <c r="E43"/>
    </row>
    <row r="44" spans="1:5" ht="12.75" customHeight="1" x14ac:dyDescent="0.35">
      <c r="A44"/>
      <c r="B44" t="s">
        <v>5740</v>
      </c>
      <c r="C44"/>
      <c r="D44"/>
      <c r="E44"/>
    </row>
    <row r="45" spans="1:5" ht="12.75" customHeight="1" x14ac:dyDescent="0.35">
      <c r="A45"/>
      <c r="B45"/>
      <c r="C45" t="s">
        <v>5742</v>
      </c>
      <c r="D45"/>
      <c r="E45"/>
    </row>
    <row r="46" spans="1:5" ht="12.75" customHeight="1" x14ac:dyDescent="0.35">
      <c r="A46"/>
      <c r="B46"/>
      <c r="C46"/>
      <c r="D46"/>
      <c r="E46"/>
    </row>
    <row r="47" spans="1:5" ht="12.75" customHeight="1" x14ac:dyDescent="0.35">
      <c r="A47"/>
      <c r="B47"/>
      <c r="C47"/>
      <c r="D47"/>
      <c r="E47"/>
    </row>
    <row r="48" spans="1:5" ht="12.75" customHeight="1" x14ac:dyDescent="0.35">
      <c r="A48"/>
      <c r="B48"/>
      <c r="C48"/>
      <c r="D48"/>
      <c r="E48"/>
    </row>
    <row r="49" spans="1:5" ht="12.75" customHeight="1" x14ac:dyDescent="0.35">
      <c r="A49"/>
      <c r="B49"/>
      <c r="C49"/>
      <c r="D49"/>
      <c r="E49"/>
    </row>
    <row r="50" spans="1:5" ht="12.75" customHeight="1" x14ac:dyDescent="0.35">
      <c r="A50"/>
      <c r="B50" t="s">
        <v>3913</v>
      </c>
      <c r="C50"/>
      <c r="D50"/>
      <c r="E50"/>
    </row>
    <row r="51" spans="1:5" ht="12.75" customHeight="1" x14ac:dyDescent="0.35">
      <c r="A51"/>
      <c r="B51"/>
      <c r="C51" t="s">
        <v>3914</v>
      </c>
      <c r="D51"/>
      <c r="E51"/>
    </row>
    <row r="52" spans="1:5" ht="12.75" customHeight="1" x14ac:dyDescent="0.35">
      <c r="A52"/>
      <c r="B52"/>
      <c r="C52"/>
      <c r="D52"/>
      <c r="E52"/>
    </row>
    <row r="53" spans="1:5" ht="12.75" customHeight="1" x14ac:dyDescent="0.35">
      <c r="A53"/>
      <c r="B53"/>
      <c r="C53"/>
      <c r="D53"/>
      <c r="E53"/>
    </row>
    <row r="54" spans="1:5" ht="12.75" customHeight="1" x14ac:dyDescent="0.35">
      <c r="A54"/>
      <c r="B54" t="s">
        <v>3913</v>
      </c>
      <c r="C54"/>
      <c r="D54"/>
      <c r="E54"/>
    </row>
    <row r="55" spans="1:5" ht="12.75" customHeight="1" x14ac:dyDescent="0.35">
      <c r="A55"/>
      <c r="B55"/>
      <c r="C55" t="s">
        <v>3915</v>
      </c>
      <c r="D55"/>
      <c r="E55"/>
    </row>
    <row r="56" spans="1:5" ht="12.75" customHeight="1" x14ac:dyDescent="0.35">
      <c r="A56"/>
      <c r="B56"/>
      <c r="C56"/>
      <c r="D56"/>
      <c r="E56"/>
    </row>
    <row r="57" spans="1:5" ht="12.75" customHeight="1" x14ac:dyDescent="0.35">
      <c r="A57"/>
      <c r="B57"/>
      <c r="C57"/>
      <c r="D57"/>
      <c r="E57"/>
    </row>
    <row r="58" spans="1:5" ht="12.75" customHeight="1" x14ac:dyDescent="0.35">
      <c r="A58"/>
      <c r="B58"/>
      <c r="C58"/>
      <c r="D58"/>
      <c r="E58"/>
    </row>
    <row r="59" spans="1:5" ht="12.75" customHeight="1" x14ac:dyDescent="0.35">
      <c r="A59"/>
      <c r="B59"/>
      <c r="C59"/>
      <c r="D59"/>
      <c r="E59"/>
    </row>
    <row r="60" spans="1:5" ht="12.75" customHeight="1" x14ac:dyDescent="0.35">
      <c r="A60"/>
      <c r="B60" t="s">
        <v>5740</v>
      </c>
      <c r="C60"/>
      <c r="D60"/>
      <c r="E60"/>
    </row>
    <row r="61" spans="1:5" ht="12.75" customHeight="1" x14ac:dyDescent="0.35">
      <c r="A61"/>
      <c r="B61"/>
      <c r="C61" t="s">
        <v>5741</v>
      </c>
      <c r="D61"/>
      <c r="E61"/>
    </row>
    <row r="62" spans="1:5" ht="12.75" customHeight="1" x14ac:dyDescent="0.35">
      <c r="A62"/>
      <c r="B62"/>
      <c r="C62"/>
      <c r="D62"/>
      <c r="E62"/>
    </row>
    <row r="63" spans="1:5" ht="12.75" customHeight="1" x14ac:dyDescent="0.35">
      <c r="A63"/>
      <c r="B63"/>
      <c r="C63"/>
      <c r="D63"/>
      <c r="E63"/>
    </row>
    <row r="64" spans="1:5" ht="12.75" customHeight="1" x14ac:dyDescent="0.35">
      <c r="A64"/>
      <c r="B64" t="s">
        <v>5740</v>
      </c>
      <c r="C64"/>
      <c r="D64"/>
      <c r="E64"/>
    </row>
    <row r="65" spans="1:5" ht="12.75" customHeight="1" x14ac:dyDescent="0.35">
      <c r="A65"/>
      <c r="B65"/>
      <c r="C65" t="s">
        <v>5742</v>
      </c>
      <c r="D65"/>
      <c r="E65"/>
    </row>
    <row r="66" spans="1:5" ht="12.75" customHeight="1" x14ac:dyDescent="0.35">
      <c r="A66"/>
      <c r="B66"/>
      <c r="C66"/>
      <c r="D66"/>
      <c r="E66"/>
    </row>
    <row r="67" spans="1:5" ht="12.75" customHeight="1" x14ac:dyDescent="0.35">
      <c r="A67"/>
      <c r="B67"/>
      <c r="C67"/>
      <c r="D67"/>
      <c r="E67"/>
    </row>
    <row r="68" spans="1:5" ht="12.75" customHeight="1" x14ac:dyDescent="0.35">
      <c r="A68"/>
      <c r="B68"/>
      <c r="C68"/>
      <c r="D68"/>
      <c r="E68"/>
    </row>
    <row r="69" spans="1:5" ht="12.75" customHeight="1" x14ac:dyDescent="0.35">
      <c r="A69"/>
      <c r="B69"/>
      <c r="C69"/>
      <c r="D69"/>
      <c r="E69"/>
    </row>
    <row r="70" spans="1:5" ht="12.75" customHeight="1" x14ac:dyDescent="0.35">
      <c r="A70"/>
      <c r="B70" t="s">
        <v>5740</v>
      </c>
      <c r="C70"/>
      <c r="D70"/>
      <c r="E70"/>
    </row>
    <row r="71" spans="1:5" ht="12.75" customHeight="1" x14ac:dyDescent="0.35">
      <c r="A71"/>
      <c r="B71"/>
      <c r="C71" t="s">
        <v>5741</v>
      </c>
      <c r="D71"/>
      <c r="E71"/>
    </row>
    <row r="72" spans="1:5" ht="12.75" customHeight="1" x14ac:dyDescent="0.35">
      <c r="A72"/>
      <c r="B72"/>
      <c r="C72"/>
      <c r="D72"/>
      <c r="E72"/>
    </row>
    <row r="73" spans="1:5" ht="12.75" customHeight="1" x14ac:dyDescent="0.35">
      <c r="A73"/>
      <c r="B73"/>
      <c r="C73"/>
      <c r="D73"/>
      <c r="E73"/>
    </row>
    <row r="74" spans="1:5" ht="12.75" customHeight="1" x14ac:dyDescent="0.35">
      <c r="A74"/>
      <c r="B74" t="s">
        <v>5740</v>
      </c>
      <c r="C74"/>
      <c r="D74"/>
      <c r="E74"/>
    </row>
    <row r="75" spans="1:5" ht="12.75" customHeight="1" x14ac:dyDescent="0.35">
      <c r="A75"/>
      <c r="B75"/>
      <c r="C75" t="s">
        <v>5742</v>
      </c>
      <c r="D75"/>
      <c r="E75"/>
    </row>
    <row r="76" spans="1:5" ht="12.75" customHeight="1" x14ac:dyDescent="0.35">
      <c r="A76"/>
      <c r="B76"/>
      <c r="C76"/>
      <c r="D76"/>
      <c r="E76"/>
    </row>
    <row r="77" spans="1:5" ht="12.75" customHeight="1" x14ac:dyDescent="0.35">
      <c r="A77"/>
      <c r="B77"/>
      <c r="C77"/>
      <c r="D77"/>
      <c r="E77"/>
    </row>
    <row r="78" spans="1:5" ht="12.75" customHeight="1" x14ac:dyDescent="0.35">
      <c r="A78"/>
      <c r="B78"/>
      <c r="C78"/>
      <c r="D78"/>
      <c r="E78"/>
    </row>
    <row r="79" spans="1:5" ht="12.75" customHeight="1" x14ac:dyDescent="0.35">
      <c r="A79"/>
      <c r="B79"/>
      <c r="C79"/>
      <c r="D79"/>
      <c r="E79"/>
    </row>
    <row r="80" spans="1:5" ht="12.75" customHeight="1" x14ac:dyDescent="0.35">
      <c r="A80"/>
      <c r="B80" t="s">
        <v>3913</v>
      </c>
      <c r="C80"/>
      <c r="D80"/>
      <c r="E80"/>
    </row>
    <row r="81" spans="1:5" ht="12.75" customHeight="1" x14ac:dyDescent="0.35">
      <c r="A81"/>
      <c r="B81"/>
      <c r="C81" t="s">
        <v>5741</v>
      </c>
      <c r="D81"/>
      <c r="E81"/>
    </row>
    <row r="82" spans="1:5" ht="12.75" customHeight="1" x14ac:dyDescent="0.35">
      <c r="A82"/>
      <c r="B82"/>
      <c r="C82"/>
      <c r="D82"/>
      <c r="E82"/>
    </row>
    <row r="83" spans="1:5" ht="12.75" customHeight="1" x14ac:dyDescent="0.35">
      <c r="A83"/>
      <c r="B83"/>
      <c r="C83"/>
      <c r="D83"/>
      <c r="E83"/>
    </row>
    <row r="84" spans="1:5" ht="12.75" customHeight="1" x14ac:dyDescent="0.35">
      <c r="A84"/>
      <c r="B84" t="s">
        <v>5740</v>
      </c>
      <c r="C84"/>
      <c r="D84"/>
      <c r="E84"/>
    </row>
    <row r="85" spans="1:5" ht="12.75" customHeight="1" x14ac:dyDescent="0.35">
      <c r="A85"/>
      <c r="B85"/>
      <c r="C85" t="s">
        <v>5742</v>
      </c>
      <c r="D85"/>
      <c r="E85"/>
    </row>
    <row r="86" spans="1:5" ht="12.75" customHeight="1" x14ac:dyDescent="0.35">
      <c r="A86"/>
      <c r="B86"/>
      <c r="C86"/>
      <c r="D86"/>
      <c r="E86"/>
    </row>
    <row r="87" spans="1:5" ht="12.75" customHeight="1" x14ac:dyDescent="0.35">
      <c r="A87"/>
      <c r="B87"/>
      <c r="C87"/>
      <c r="D87"/>
      <c r="E87"/>
    </row>
    <row r="88" spans="1:5" ht="12.75" customHeight="1" x14ac:dyDescent="0.35">
      <c r="A88"/>
      <c r="B88"/>
      <c r="C88"/>
      <c r="D88"/>
      <c r="E88"/>
    </row>
    <row r="89" spans="1:5" ht="12.75" customHeight="1" x14ac:dyDescent="0.35">
      <c r="A89"/>
      <c r="B89"/>
      <c r="C89"/>
      <c r="D89"/>
      <c r="E89"/>
    </row>
    <row r="90" spans="1:5" ht="12.75" customHeight="1" x14ac:dyDescent="0.35">
      <c r="A90"/>
      <c r="B90" t="s">
        <v>5740</v>
      </c>
      <c r="C90"/>
      <c r="D90"/>
      <c r="E90"/>
    </row>
    <row r="91" spans="1:5" ht="12.75" customHeight="1" x14ac:dyDescent="0.35">
      <c r="A91"/>
      <c r="B91"/>
      <c r="C91" t="s">
        <v>5741</v>
      </c>
      <c r="D91"/>
      <c r="E91"/>
    </row>
    <row r="92" spans="1:5" ht="12.75" customHeight="1" x14ac:dyDescent="0.35">
      <c r="A92"/>
      <c r="B92"/>
      <c r="C92"/>
      <c r="D92"/>
      <c r="E92"/>
    </row>
    <row r="93" spans="1:5" ht="12.75" customHeight="1" x14ac:dyDescent="0.35">
      <c r="A93"/>
      <c r="B93"/>
      <c r="C93"/>
      <c r="D93"/>
      <c r="E93"/>
    </row>
    <row r="94" spans="1:5" ht="12.75" customHeight="1" x14ac:dyDescent="0.35">
      <c r="A94"/>
      <c r="B94" t="s">
        <v>5740</v>
      </c>
      <c r="C94"/>
      <c r="D94"/>
      <c r="E94"/>
    </row>
    <row r="95" spans="1:5" ht="12.75" customHeight="1" x14ac:dyDescent="0.35">
      <c r="A95"/>
      <c r="B95"/>
      <c r="C95" t="s">
        <v>5742</v>
      </c>
      <c r="D95"/>
      <c r="E95"/>
    </row>
    <row r="96" spans="1:5" ht="12.75" customHeight="1" x14ac:dyDescent="0.35">
      <c r="A96"/>
      <c r="B96"/>
      <c r="C96"/>
      <c r="D96"/>
      <c r="E96"/>
    </row>
    <row r="97" spans="1:5" ht="12.75" customHeight="1" x14ac:dyDescent="0.35">
      <c r="A97"/>
      <c r="B97"/>
      <c r="C97"/>
      <c r="D97"/>
      <c r="E97"/>
    </row>
    <row r="98" spans="1:5" ht="12.75" customHeight="1" x14ac:dyDescent="0.35">
      <c r="A98"/>
      <c r="B98"/>
      <c r="C98"/>
      <c r="D98"/>
      <c r="E98"/>
    </row>
    <row r="99" spans="1:5" ht="12.75" customHeight="1" x14ac:dyDescent="0.35">
      <c r="A99"/>
      <c r="B99"/>
      <c r="C99"/>
      <c r="D99"/>
      <c r="E99"/>
    </row>
    <row r="100" spans="1:5" ht="12.75" customHeight="1" x14ac:dyDescent="0.35">
      <c r="A100"/>
      <c r="B100" t="s">
        <v>5740</v>
      </c>
      <c r="C100"/>
      <c r="D100"/>
      <c r="E100"/>
    </row>
    <row r="101" spans="1:5" ht="12.75" customHeight="1" x14ac:dyDescent="0.35">
      <c r="A101"/>
      <c r="B101"/>
      <c r="C101" t="s">
        <v>5741</v>
      </c>
      <c r="D101"/>
      <c r="E101"/>
    </row>
    <row r="102" spans="1:5" ht="12.75" customHeight="1" x14ac:dyDescent="0.35">
      <c r="A102"/>
      <c r="B102"/>
      <c r="C102"/>
      <c r="D102"/>
      <c r="E102"/>
    </row>
    <row r="103" spans="1:5" ht="12.75" customHeight="1" x14ac:dyDescent="0.35">
      <c r="A103"/>
      <c r="B103"/>
      <c r="C103"/>
      <c r="D103"/>
      <c r="E103"/>
    </row>
    <row r="104" spans="1:5" ht="12.75" customHeight="1" x14ac:dyDescent="0.35">
      <c r="A104"/>
      <c r="B104" t="s">
        <v>5740</v>
      </c>
      <c r="C104"/>
      <c r="D104"/>
      <c r="E104"/>
    </row>
    <row r="105" spans="1:5" ht="12.75" customHeight="1" x14ac:dyDescent="0.35">
      <c r="A105"/>
      <c r="B105"/>
      <c r="C105" t="s">
        <v>5742</v>
      </c>
      <c r="D105"/>
      <c r="E105"/>
    </row>
    <row r="106" spans="1:5" ht="12.75" customHeight="1" x14ac:dyDescent="0.35">
      <c r="A106"/>
      <c r="B106"/>
      <c r="C106"/>
      <c r="D106"/>
      <c r="E106"/>
    </row>
    <row r="107" spans="1:5" ht="12.75" customHeight="1" x14ac:dyDescent="0.35">
      <c r="A107"/>
      <c r="B107"/>
      <c r="C107"/>
      <c r="D107"/>
      <c r="E107"/>
    </row>
    <row r="108" spans="1:5" ht="12.75" customHeight="1" x14ac:dyDescent="0.35">
      <c r="A108"/>
      <c r="B108"/>
      <c r="C108"/>
      <c r="D108"/>
      <c r="E108"/>
    </row>
    <row r="109" spans="1:5" ht="12.75" customHeight="1" x14ac:dyDescent="0.35">
      <c r="A109"/>
      <c r="B109"/>
      <c r="C109"/>
      <c r="D109"/>
      <c r="E109"/>
    </row>
    <row r="110" spans="1:5" ht="12.75" customHeight="1" x14ac:dyDescent="0.35">
      <c r="A110"/>
      <c r="B110" t="s">
        <v>5740</v>
      </c>
      <c r="C110"/>
      <c r="D110"/>
      <c r="E110"/>
    </row>
    <row r="111" spans="1:5" ht="12.75" customHeight="1" x14ac:dyDescent="0.35">
      <c r="A111"/>
      <c r="B111"/>
      <c r="C111" t="s">
        <v>5741</v>
      </c>
      <c r="D111"/>
      <c r="E111"/>
    </row>
    <row r="112" spans="1:5" ht="12.75" customHeight="1" x14ac:dyDescent="0.35">
      <c r="A112"/>
      <c r="B112"/>
      <c r="C112"/>
      <c r="D112"/>
      <c r="E112"/>
    </row>
    <row r="113" spans="1:5" ht="12.75" customHeight="1" x14ac:dyDescent="0.35">
      <c r="A113"/>
      <c r="B113"/>
      <c r="C113"/>
      <c r="D113"/>
      <c r="E113"/>
    </row>
    <row r="114" spans="1:5" ht="12.75" customHeight="1" x14ac:dyDescent="0.35">
      <c r="A114"/>
      <c r="B114" t="s">
        <v>5740</v>
      </c>
      <c r="C114"/>
      <c r="D114"/>
      <c r="E114"/>
    </row>
    <row r="115" spans="1:5" ht="12.75" customHeight="1" x14ac:dyDescent="0.35">
      <c r="A115"/>
      <c r="B115"/>
      <c r="C115" t="s">
        <v>5742</v>
      </c>
      <c r="D115"/>
      <c r="E115"/>
    </row>
    <row r="116" spans="1:5" ht="12.75" customHeight="1" x14ac:dyDescent="0.35">
      <c r="A116"/>
      <c r="B116"/>
      <c r="C116"/>
      <c r="D116"/>
      <c r="E116"/>
    </row>
    <row r="117" spans="1:5" ht="12.75" customHeight="1" x14ac:dyDescent="0.35">
      <c r="A117"/>
      <c r="B117"/>
      <c r="C117"/>
      <c r="D117"/>
      <c r="E117"/>
    </row>
    <row r="118" spans="1:5" ht="12.75" customHeight="1" x14ac:dyDescent="0.35">
      <c r="A118"/>
      <c r="B118"/>
      <c r="C118"/>
      <c r="D118"/>
      <c r="E118"/>
    </row>
    <row r="119" spans="1:5" ht="12.75" customHeight="1" x14ac:dyDescent="0.35">
      <c r="A119"/>
      <c r="B119"/>
      <c r="C119"/>
      <c r="D119"/>
      <c r="E119"/>
    </row>
    <row r="120" spans="1:5" ht="12.75" customHeight="1" x14ac:dyDescent="0.35">
      <c r="A120"/>
      <c r="B120" t="s">
        <v>5740</v>
      </c>
      <c r="C120"/>
      <c r="D120"/>
      <c r="E120"/>
    </row>
    <row r="121" spans="1:5" ht="12.75" customHeight="1" x14ac:dyDescent="0.35">
      <c r="A121"/>
      <c r="B121"/>
      <c r="C121" t="s">
        <v>5741</v>
      </c>
      <c r="D121"/>
      <c r="E121"/>
    </row>
    <row r="122" spans="1:5" ht="12.75" customHeight="1" x14ac:dyDescent="0.35">
      <c r="A122"/>
      <c r="B122"/>
      <c r="C122"/>
      <c r="D122"/>
      <c r="E122"/>
    </row>
    <row r="123" spans="1:5" ht="12.75" customHeight="1" x14ac:dyDescent="0.35">
      <c r="A123"/>
      <c r="B123"/>
      <c r="C123"/>
      <c r="D123"/>
      <c r="E123"/>
    </row>
    <row r="124" spans="1:5" ht="12.75" customHeight="1" x14ac:dyDescent="0.35">
      <c r="A124"/>
      <c r="B124" t="s">
        <v>5740</v>
      </c>
      <c r="C124"/>
      <c r="D124"/>
      <c r="E124"/>
    </row>
    <row r="125" spans="1:5" ht="12.75" customHeight="1" x14ac:dyDescent="0.35">
      <c r="A125"/>
      <c r="B125"/>
      <c r="C125" t="s">
        <v>5742</v>
      </c>
      <c r="D125"/>
      <c r="E125"/>
    </row>
    <row r="126" spans="1:5" ht="12.75" customHeight="1" x14ac:dyDescent="0.35">
      <c r="A126"/>
      <c r="B126"/>
      <c r="C126"/>
      <c r="D126"/>
      <c r="E126"/>
    </row>
    <row r="127" spans="1:5" ht="12.75" customHeight="1" x14ac:dyDescent="0.35">
      <c r="A127"/>
      <c r="B127"/>
      <c r="C127"/>
      <c r="D127"/>
      <c r="E127"/>
    </row>
    <row r="128" spans="1:5" ht="12.75" customHeight="1" x14ac:dyDescent="0.35">
      <c r="A128"/>
      <c r="B128"/>
      <c r="C128"/>
      <c r="D128"/>
      <c r="E128"/>
    </row>
    <row r="129" spans="1:5" ht="12.75" customHeight="1" x14ac:dyDescent="0.35">
      <c r="A129"/>
      <c r="B129"/>
      <c r="C129"/>
      <c r="D129"/>
      <c r="E129"/>
    </row>
    <row r="130" spans="1:5" ht="12.75" customHeight="1" x14ac:dyDescent="0.35">
      <c r="A130"/>
      <c r="B130" t="s">
        <v>5740</v>
      </c>
      <c r="C130"/>
      <c r="D130"/>
      <c r="E130"/>
    </row>
    <row r="131" spans="1:5" ht="12.75" customHeight="1" x14ac:dyDescent="0.35">
      <c r="A131"/>
      <c r="B131"/>
      <c r="C131" t="s">
        <v>5741</v>
      </c>
      <c r="D131"/>
      <c r="E131"/>
    </row>
    <row r="132" spans="1:5" ht="12.75" customHeight="1" x14ac:dyDescent="0.35">
      <c r="A132"/>
      <c r="B132"/>
      <c r="C132"/>
      <c r="D132"/>
      <c r="E132"/>
    </row>
    <row r="133" spans="1:5" ht="12.75" customHeight="1" x14ac:dyDescent="0.35">
      <c r="A133"/>
      <c r="B133"/>
      <c r="C133"/>
      <c r="D133"/>
      <c r="E133"/>
    </row>
    <row r="134" spans="1:5" ht="12.75" customHeight="1" x14ac:dyDescent="0.35">
      <c r="A134"/>
      <c r="B134" t="s">
        <v>5740</v>
      </c>
      <c r="C134"/>
      <c r="D134"/>
      <c r="E134"/>
    </row>
    <row r="135" spans="1:5" ht="12.75" customHeight="1" x14ac:dyDescent="0.35">
      <c r="A135"/>
      <c r="B135"/>
      <c r="C135" t="s">
        <v>3915</v>
      </c>
      <c r="D135"/>
      <c r="E135"/>
    </row>
    <row r="136" spans="1:5" ht="12.75" customHeight="1" x14ac:dyDescent="0.35">
      <c r="A136"/>
      <c r="B136"/>
      <c r="C136"/>
      <c r="D136"/>
      <c r="E136"/>
    </row>
    <row r="137" spans="1:5" ht="12.75" customHeight="1" x14ac:dyDescent="0.35">
      <c r="A137"/>
      <c r="B137"/>
      <c r="C137"/>
      <c r="D137"/>
      <c r="E137"/>
    </row>
    <row r="138" spans="1:5" ht="12.75" customHeight="1" x14ac:dyDescent="0.35">
      <c r="A138"/>
      <c r="B138"/>
      <c r="C138"/>
      <c r="D138"/>
      <c r="E138"/>
    </row>
    <row r="139" spans="1:5" ht="12.75" customHeight="1" x14ac:dyDescent="0.35">
      <c r="A139"/>
      <c r="B139"/>
      <c r="C139"/>
      <c r="D139"/>
      <c r="E139"/>
    </row>
    <row r="140" spans="1:5" ht="12.75" customHeight="1" x14ac:dyDescent="0.35">
      <c r="A140"/>
      <c r="B140" t="s">
        <v>3913</v>
      </c>
      <c r="C140"/>
      <c r="D140"/>
      <c r="E140"/>
    </row>
    <row r="141" spans="1:5" ht="12.75" customHeight="1" x14ac:dyDescent="0.35">
      <c r="A141"/>
      <c r="B141"/>
      <c r="C141" t="s">
        <v>5741</v>
      </c>
      <c r="D141"/>
      <c r="E141"/>
    </row>
    <row r="142" spans="1:5" ht="12.75" customHeight="1" x14ac:dyDescent="0.35">
      <c r="A142"/>
      <c r="B142"/>
      <c r="C142"/>
      <c r="D142"/>
      <c r="E142"/>
    </row>
    <row r="143" spans="1:5" ht="12.75" customHeight="1" x14ac:dyDescent="0.35">
      <c r="A143"/>
      <c r="B143"/>
      <c r="C143"/>
      <c r="D143"/>
      <c r="E143"/>
    </row>
    <row r="144" spans="1:5" ht="12.75" customHeight="1" x14ac:dyDescent="0.35">
      <c r="A144"/>
      <c r="B144" t="s">
        <v>5740</v>
      </c>
      <c r="C144"/>
      <c r="D144"/>
      <c r="E144"/>
    </row>
    <row r="145" spans="1:5" ht="12.75" customHeight="1" x14ac:dyDescent="0.35">
      <c r="A145"/>
      <c r="B145"/>
      <c r="C145" t="s">
        <v>5742</v>
      </c>
      <c r="D145"/>
      <c r="E145"/>
    </row>
    <row r="146" spans="1:5" ht="12.75" customHeight="1" x14ac:dyDescent="0.35">
      <c r="A146"/>
      <c r="B146"/>
      <c r="C146"/>
      <c r="D146"/>
      <c r="E146"/>
    </row>
    <row r="147" spans="1:5" ht="12.75" customHeight="1" x14ac:dyDescent="0.35">
      <c r="A147"/>
      <c r="B147"/>
      <c r="C147"/>
      <c r="D147"/>
      <c r="E147"/>
    </row>
    <row r="148" spans="1:5" ht="12.75" customHeight="1" x14ac:dyDescent="0.35">
      <c r="A148"/>
      <c r="B148"/>
      <c r="C148"/>
      <c r="D148"/>
      <c r="E148"/>
    </row>
    <row r="149" spans="1:5" ht="12.75" customHeight="1" x14ac:dyDescent="0.35">
      <c r="A149"/>
      <c r="B149"/>
      <c r="C149"/>
      <c r="D149"/>
      <c r="E149"/>
    </row>
    <row r="150" spans="1:5" ht="12.75" customHeight="1" x14ac:dyDescent="0.35">
      <c r="A150"/>
      <c r="B150" t="s">
        <v>5740</v>
      </c>
      <c r="C150"/>
      <c r="D150"/>
      <c r="E150"/>
    </row>
    <row r="151" spans="1:5" ht="12.75" customHeight="1" x14ac:dyDescent="0.35">
      <c r="A151"/>
      <c r="B151"/>
      <c r="C151" t="s">
        <v>5741</v>
      </c>
      <c r="D151"/>
      <c r="E151"/>
    </row>
    <row r="152" spans="1:5" ht="12.75" customHeight="1" x14ac:dyDescent="0.35">
      <c r="A152"/>
      <c r="B152"/>
      <c r="C152"/>
      <c r="D152"/>
      <c r="E152"/>
    </row>
    <row r="153" spans="1:5" ht="12.75" customHeight="1" x14ac:dyDescent="0.35">
      <c r="A153"/>
      <c r="B153"/>
      <c r="C153"/>
      <c r="D153"/>
      <c r="E153"/>
    </row>
    <row r="154" spans="1:5" ht="12.75" customHeight="1" x14ac:dyDescent="0.35">
      <c r="A154"/>
      <c r="B154" t="s">
        <v>5740</v>
      </c>
      <c r="C154"/>
      <c r="D154"/>
      <c r="E154"/>
    </row>
    <row r="155" spans="1:5" ht="12.75" customHeight="1" x14ac:dyDescent="0.35">
      <c r="A155"/>
      <c r="B155"/>
      <c r="C155" t="s">
        <v>5742</v>
      </c>
      <c r="D155"/>
      <c r="E155"/>
    </row>
    <row r="156" spans="1:5" ht="12.75" customHeight="1" x14ac:dyDescent="0.35">
      <c r="A156"/>
      <c r="B156"/>
      <c r="C156"/>
      <c r="D156"/>
      <c r="E156"/>
    </row>
    <row r="157" spans="1:5" ht="12.75" customHeight="1" x14ac:dyDescent="0.35">
      <c r="A157"/>
      <c r="B157"/>
      <c r="C157"/>
      <c r="D157"/>
      <c r="E157"/>
    </row>
    <row r="158" spans="1:5" ht="12.75" customHeight="1" x14ac:dyDescent="0.35">
      <c r="A158"/>
      <c r="B158"/>
      <c r="C158"/>
      <c r="D158"/>
      <c r="E158"/>
    </row>
    <row r="159" spans="1:5" ht="12.75" customHeight="1" x14ac:dyDescent="0.35">
      <c r="A159"/>
      <c r="B159"/>
      <c r="C159"/>
      <c r="D159"/>
      <c r="E159"/>
    </row>
    <row r="160" spans="1:5" ht="12.75" customHeight="1" x14ac:dyDescent="0.35">
      <c r="A160"/>
      <c r="B160" t="s">
        <v>5740</v>
      </c>
      <c r="C160"/>
      <c r="D160"/>
      <c r="E160"/>
    </row>
    <row r="161" spans="1:5" ht="12.75" customHeight="1" x14ac:dyDescent="0.35">
      <c r="A161"/>
      <c r="B161"/>
      <c r="C161" t="s">
        <v>5741</v>
      </c>
      <c r="D161"/>
      <c r="E161"/>
    </row>
    <row r="162" spans="1:5" ht="12.75" customHeight="1" x14ac:dyDescent="0.35">
      <c r="A162"/>
      <c r="B162"/>
      <c r="C162"/>
      <c r="D162"/>
      <c r="E162"/>
    </row>
    <row r="163" spans="1:5" ht="12.75" customHeight="1" x14ac:dyDescent="0.35">
      <c r="A163"/>
      <c r="B163"/>
      <c r="C163"/>
      <c r="D163"/>
      <c r="E163"/>
    </row>
    <row r="164" spans="1:5" ht="12.75" customHeight="1" x14ac:dyDescent="0.35">
      <c r="A164"/>
      <c r="B164" t="s">
        <v>5740</v>
      </c>
      <c r="C164"/>
      <c r="D164"/>
      <c r="E164"/>
    </row>
    <row r="165" spans="1:5" ht="12.75" customHeight="1" x14ac:dyDescent="0.35">
      <c r="A165"/>
      <c r="B165"/>
      <c r="C165" t="s">
        <v>5742</v>
      </c>
      <c r="D165"/>
      <c r="E165"/>
    </row>
    <row r="166" spans="1:5" ht="12.75" customHeight="1" x14ac:dyDescent="0.35">
      <c r="A166"/>
      <c r="B166"/>
      <c r="C166"/>
      <c r="D166"/>
      <c r="E166"/>
    </row>
    <row r="167" spans="1:5" ht="12.75" customHeight="1" x14ac:dyDescent="0.35">
      <c r="A167"/>
      <c r="B167"/>
      <c r="C167"/>
      <c r="D167"/>
      <c r="E167"/>
    </row>
    <row r="168" spans="1:5" ht="12.75" customHeight="1" x14ac:dyDescent="0.35">
      <c r="A168"/>
      <c r="B168"/>
      <c r="C168"/>
      <c r="D168"/>
      <c r="E168"/>
    </row>
    <row r="169" spans="1:5" ht="12.75" customHeight="1" x14ac:dyDescent="0.35">
      <c r="A169"/>
      <c r="B169"/>
      <c r="C169"/>
      <c r="D169"/>
      <c r="E169"/>
    </row>
    <row r="170" spans="1:5" ht="12.75" customHeight="1" x14ac:dyDescent="0.35">
      <c r="A170"/>
      <c r="B170" t="s">
        <v>5740</v>
      </c>
      <c r="C170"/>
      <c r="D170"/>
      <c r="E170"/>
    </row>
    <row r="171" spans="1:5" ht="12.75" customHeight="1" x14ac:dyDescent="0.35">
      <c r="A171"/>
      <c r="B171"/>
      <c r="C171" t="s">
        <v>5741</v>
      </c>
      <c r="D171"/>
      <c r="E171"/>
    </row>
    <row r="172" spans="1:5" ht="12.75" customHeight="1" x14ac:dyDescent="0.35">
      <c r="A172"/>
      <c r="B172"/>
      <c r="C172"/>
      <c r="D172"/>
      <c r="E172"/>
    </row>
    <row r="173" spans="1:5" ht="12.75" customHeight="1" x14ac:dyDescent="0.35">
      <c r="A173"/>
      <c r="B173"/>
      <c r="C173"/>
      <c r="D173"/>
      <c r="E173"/>
    </row>
    <row r="174" spans="1:5" ht="12.75" customHeight="1" x14ac:dyDescent="0.35">
      <c r="A174"/>
      <c r="B174" t="s">
        <v>5740</v>
      </c>
      <c r="C174"/>
      <c r="D174"/>
      <c r="E174"/>
    </row>
    <row r="175" spans="1:5" ht="12.75" customHeight="1" x14ac:dyDescent="0.35">
      <c r="A175"/>
      <c r="B175"/>
      <c r="C175" t="s">
        <v>5742</v>
      </c>
      <c r="D175"/>
      <c r="E175"/>
    </row>
    <row r="176" spans="1:5" ht="12.75" customHeight="1" x14ac:dyDescent="0.35">
      <c r="A176"/>
      <c r="B176"/>
      <c r="C176"/>
      <c r="D176"/>
      <c r="E176"/>
    </row>
    <row r="177" spans="1:5" ht="12.75" customHeight="1" x14ac:dyDescent="0.35">
      <c r="A177"/>
      <c r="B177"/>
      <c r="C177"/>
      <c r="D177"/>
      <c r="E177"/>
    </row>
    <row r="178" spans="1:5" ht="12.75" customHeight="1" x14ac:dyDescent="0.35">
      <c r="A178"/>
      <c r="B178"/>
      <c r="C178"/>
      <c r="D178"/>
      <c r="E178"/>
    </row>
    <row r="179" spans="1:5" ht="12.75" customHeight="1" x14ac:dyDescent="0.35">
      <c r="A179"/>
      <c r="B179"/>
      <c r="C179"/>
      <c r="D179"/>
      <c r="E179"/>
    </row>
    <row r="180" spans="1:5" ht="12.75" customHeight="1" x14ac:dyDescent="0.35">
      <c r="A180"/>
      <c r="B180" t="s">
        <v>5740</v>
      </c>
      <c r="C180"/>
      <c r="D180"/>
      <c r="E180"/>
    </row>
    <row r="181" spans="1:5" ht="12.75" customHeight="1" x14ac:dyDescent="0.35">
      <c r="A181"/>
      <c r="B181"/>
      <c r="C181" t="s">
        <v>5741</v>
      </c>
      <c r="D181"/>
      <c r="E181"/>
    </row>
    <row r="182" spans="1:5" ht="12.75" customHeight="1" x14ac:dyDescent="0.35">
      <c r="A182"/>
      <c r="B182"/>
      <c r="C182"/>
      <c r="D182"/>
      <c r="E182"/>
    </row>
    <row r="183" spans="1:5" ht="12.75" customHeight="1" x14ac:dyDescent="0.35">
      <c r="A183"/>
      <c r="B183"/>
      <c r="C183"/>
      <c r="D183"/>
      <c r="E183"/>
    </row>
    <row r="184" spans="1:5" ht="12.75" customHeight="1" x14ac:dyDescent="0.35">
      <c r="A184"/>
      <c r="B184" t="s">
        <v>5740</v>
      </c>
      <c r="C184"/>
      <c r="D184"/>
      <c r="E184"/>
    </row>
    <row r="185" spans="1:5" ht="12.75" customHeight="1" x14ac:dyDescent="0.35">
      <c r="A185"/>
      <c r="B185"/>
      <c r="C185" t="s">
        <v>5742</v>
      </c>
      <c r="D185"/>
      <c r="E185"/>
    </row>
    <row r="186" spans="1:5" ht="12.75" customHeight="1" x14ac:dyDescent="0.35">
      <c r="A186"/>
      <c r="B186"/>
      <c r="C186"/>
      <c r="D186"/>
      <c r="E186"/>
    </row>
    <row r="187" spans="1:5" ht="12.75" customHeight="1" x14ac:dyDescent="0.35">
      <c r="A187"/>
      <c r="B187"/>
      <c r="C187"/>
      <c r="D187"/>
      <c r="E187"/>
    </row>
    <row r="188" spans="1:5" ht="12.75" customHeight="1" x14ac:dyDescent="0.35">
      <c r="A188"/>
      <c r="B188"/>
      <c r="C188"/>
      <c r="D188"/>
      <c r="E188"/>
    </row>
    <row r="189" spans="1:5" ht="12.75" customHeight="1" x14ac:dyDescent="0.35">
      <c r="A189"/>
      <c r="B189"/>
      <c r="C189"/>
      <c r="D189"/>
      <c r="E189"/>
    </row>
    <row r="190" spans="1:5" ht="12.75" customHeight="1" x14ac:dyDescent="0.35">
      <c r="A190"/>
      <c r="B190" t="s">
        <v>5740</v>
      </c>
      <c r="C190"/>
      <c r="D190"/>
      <c r="E190"/>
    </row>
    <row r="191" spans="1:5" ht="12.75" customHeight="1" x14ac:dyDescent="0.35">
      <c r="A191"/>
      <c r="B191"/>
      <c r="C191" t="s">
        <v>5741</v>
      </c>
      <c r="D191"/>
      <c r="E191"/>
    </row>
    <row r="192" spans="1:5" ht="12.75" customHeight="1" x14ac:dyDescent="0.35">
      <c r="A192"/>
      <c r="B192"/>
      <c r="C192"/>
      <c r="D192"/>
      <c r="E192"/>
    </row>
    <row r="193" spans="1:5" ht="12.75" customHeight="1" x14ac:dyDescent="0.35">
      <c r="A193"/>
      <c r="B193"/>
      <c r="C193"/>
      <c r="D193"/>
      <c r="E193"/>
    </row>
    <row r="194" spans="1:5" ht="12.75" customHeight="1" x14ac:dyDescent="0.35">
      <c r="A194"/>
      <c r="B194" t="s">
        <v>5740</v>
      </c>
      <c r="C194"/>
      <c r="D194"/>
      <c r="E194"/>
    </row>
    <row r="195" spans="1:5" ht="12.75" customHeight="1" x14ac:dyDescent="0.35">
      <c r="A195"/>
      <c r="B195"/>
      <c r="C195" t="s">
        <v>5742</v>
      </c>
      <c r="D195"/>
      <c r="E195"/>
    </row>
    <row r="196" spans="1:5" ht="12.75" customHeight="1" x14ac:dyDescent="0.35">
      <c r="A196"/>
      <c r="B196"/>
      <c r="C196"/>
      <c r="D196"/>
      <c r="E196"/>
    </row>
    <row r="197" spans="1:5" ht="12.75" customHeight="1" x14ac:dyDescent="0.35">
      <c r="A197"/>
      <c r="B197"/>
      <c r="C197"/>
      <c r="D197"/>
      <c r="E197"/>
    </row>
    <row r="198" spans="1:5" ht="12.75" customHeight="1" x14ac:dyDescent="0.35">
      <c r="A198"/>
      <c r="B198"/>
      <c r="C198"/>
      <c r="D198"/>
      <c r="E198"/>
    </row>
    <row r="199" spans="1:5" ht="12.75" customHeight="1" x14ac:dyDescent="0.35">
      <c r="A199"/>
      <c r="B199"/>
      <c r="C199"/>
      <c r="D199"/>
      <c r="E199"/>
    </row>
    <row r="200" spans="1:5" ht="12.75" customHeight="1" x14ac:dyDescent="0.35">
      <c r="A200"/>
      <c r="B200" t="s">
        <v>5740</v>
      </c>
      <c r="C200"/>
      <c r="D200"/>
      <c r="E200"/>
    </row>
    <row r="201" spans="1:5" ht="12.75" customHeight="1" x14ac:dyDescent="0.35">
      <c r="A201"/>
      <c r="B201"/>
      <c r="C201" t="s">
        <v>5741</v>
      </c>
      <c r="D201"/>
      <c r="E201"/>
    </row>
    <row r="202" spans="1:5" ht="12.75" customHeight="1" x14ac:dyDescent="0.35">
      <c r="A202"/>
      <c r="B202"/>
      <c r="C202"/>
      <c r="D202"/>
      <c r="E202"/>
    </row>
    <row r="203" spans="1:5" ht="12.75" customHeight="1" x14ac:dyDescent="0.35">
      <c r="A203"/>
      <c r="B203"/>
      <c r="C203"/>
      <c r="D203"/>
      <c r="E203"/>
    </row>
    <row r="204" spans="1:5" ht="12.75" customHeight="1" x14ac:dyDescent="0.35">
      <c r="A204"/>
      <c r="B204" t="s">
        <v>5740</v>
      </c>
      <c r="C204"/>
      <c r="D204"/>
      <c r="E204"/>
    </row>
    <row r="205" spans="1:5" ht="12.75" customHeight="1" x14ac:dyDescent="0.35">
      <c r="A205"/>
      <c r="B205"/>
      <c r="C205" t="s">
        <v>3915</v>
      </c>
      <c r="D205"/>
      <c r="E205"/>
    </row>
    <row r="206" spans="1:5" ht="12.75" customHeight="1" x14ac:dyDescent="0.35">
      <c r="A206"/>
      <c r="B206"/>
      <c r="C206"/>
      <c r="D206"/>
      <c r="E206"/>
    </row>
    <row r="207" spans="1:5" ht="12.75" customHeight="1" x14ac:dyDescent="0.35">
      <c r="A207"/>
      <c r="B207"/>
      <c r="C207"/>
      <c r="D207"/>
      <c r="E207"/>
    </row>
    <row r="208" spans="1:5" ht="12.75" customHeight="1" x14ac:dyDescent="0.35">
      <c r="A208"/>
      <c r="B208"/>
      <c r="C208"/>
      <c r="D208"/>
      <c r="E208"/>
    </row>
    <row r="209" spans="1:5" ht="12.75" customHeight="1" x14ac:dyDescent="0.35">
      <c r="A209"/>
      <c r="B209"/>
      <c r="C209"/>
      <c r="D209"/>
      <c r="E209"/>
    </row>
    <row r="210" spans="1:5" ht="12.75" customHeight="1" x14ac:dyDescent="0.35">
      <c r="A210"/>
      <c r="B210" t="s">
        <v>3913</v>
      </c>
      <c r="C210"/>
      <c r="D210"/>
      <c r="E210"/>
    </row>
    <row r="211" spans="1:5" ht="12.75" customHeight="1" x14ac:dyDescent="0.35">
      <c r="A211"/>
      <c r="B211"/>
      <c r="C211" t="s">
        <v>5741</v>
      </c>
      <c r="D211"/>
      <c r="E211"/>
    </row>
    <row r="212" spans="1:5" ht="12.75" customHeight="1" x14ac:dyDescent="0.35">
      <c r="A212"/>
      <c r="B212"/>
      <c r="C212"/>
      <c r="D212"/>
      <c r="E212"/>
    </row>
    <row r="213" spans="1:5" ht="12.75" customHeight="1" x14ac:dyDescent="0.35">
      <c r="A213"/>
      <c r="B213"/>
      <c r="C213"/>
      <c r="D213"/>
      <c r="E213"/>
    </row>
    <row r="214" spans="1:5" ht="12.75" customHeight="1" x14ac:dyDescent="0.35">
      <c r="A214"/>
      <c r="B214" t="s">
        <v>5740</v>
      </c>
      <c r="C214"/>
      <c r="D214"/>
      <c r="E214"/>
    </row>
    <row r="215" spans="1:5" ht="12.75" customHeight="1" x14ac:dyDescent="0.35">
      <c r="A215"/>
      <c r="B215"/>
      <c r="C215" t="s">
        <v>5742</v>
      </c>
      <c r="D215"/>
      <c r="E215"/>
    </row>
    <row r="216" spans="1:5" ht="12.75" customHeight="1" x14ac:dyDescent="0.35">
      <c r="A216"/>
      <c r="B216"/>
      <c r="C216"/>
      <c r="D216"/>
      <c r="E216"/>
    </row>
    <row r="217" spans="1:5" ht="12.75" customHeight="1" x14ac:dyDescent="0.35">
      <c r="A217"/>
      <c r="B217"/>
      <c r="C217"/>
      <c r="D217"/>
      <c r="E217"/>
    </row>
    <row r="218" spans="1:5" ht="12.75" customHeight="1" x14ac:dyDescent="0.35">
      <c r="A218"/>
      <c r="B218"/>
      <c r="C218"/>
      <c r="D218"/>
      <c r="E218"/>
    </row>
    <row r="219" spans="1:5" ht="12.75" customHeight="1" x14ac:dyDescent="0.35">
      <c r="A219"/>
      <c r="B219"/>
      <c r="C219"/>
      <c r="D219"/>
      <c r="E219"/>
    </row>
    <row r="220" spans="1:5" ht="12.75" customHeight="1" x14ac:dyDescent="0.35">
      <c r="A220"/>
      <c r="B220" t="s">
        <v>5740</v>
      </c>
      <c r="C220"/>
      <c r="D220"/>
      <c r="E220"/>
    </row>
    <row r="221" spans="1:5" ht="12.75" customHeight="1" x14ac:dyDescent="0.35">
      <c r="A221"/>
      <c r="B221"/>
      <c r="C221" t="s">
        <v>5741</v>
      </c>
      <c r="D221"/>
      <c r="E221"/>
    </row>
    <row r="222" spans="1:5" ht="12.75" customHeight="1" x14ac:dyDescent="0.35">
      <c r="A222"/>
      <c r="B222"/>
      <c r="C222"/>
      <c r="D222"/>
      <c r="E222"/>
    </row>
    <row r="223" spans="1:5" ht="12.75" customHeight="1" x14ac:dyDescent="0.35">
      <c r="A223"/>
      <c r="B223"/>
      <c r="C223"/>
      <c r="D223"/>
      <c r="E223"/>
    </row>
    <row r="224" spans="1:5" ht="12.75" customHeight="1" x14ac:dyDescent="0.35">
      <c r="A224"/>
      <c r="B224" t="s">
        <v>5740</v>
      </c>
      <c r="C224"/>
      <c r="D224"/>
      <c r="E224"/>
    </row>
    <row r="225" spans="1:5" ht="12.75" customHeight="1" x14ac:dyDescent="0.35">
      <c r="A225"/>
      <c r="B225"/>
      <c r="C225" t="s">
        <v>5742</v>
      </c>
      <c r="D225"/>
      <c r="E225"/>
    </row>
    <row r="226" spans="1:5" ht="12.75" customHeight="1" x14ac:dyDescent="0.35">
      <c r="A226"/>
      <c r="B226"/>
      <c r="C226"/>
      <c r="D226"/>
      <c r="E226"/>
    </row>
    <row r="227" spans="1:5" ht="12.75" customHeight="1" x14ac:dyDescent="0.35">
      <c r="A227"/>
      <c r="B227"/>
      <c r="C227"/>
      <c r="D227"/>
      <c r="E227"/>
    </row>
    <row r="228" spans="1:5" ht="12.75" customHeight="1" x14ac:dyDescent="0.35">
      <c r="A228"/>
      <c r="B228"/>
      <c r="C228"/>
      <c r="D228"/>
      <c r="E228"/>
    </row>
    <row r="229" spans="1:5" ht="12.75" customHeight="1" x14ac:dyDescent="0.35">
      <c r="A229"/>
      <c r="B229"/>
      <c r="C229"/>
      <c r="D229"/>
      <c r="E229"/>
    </row>
    <row r="230" spans="1:5" ht="12.75" customHeight="1" x14ac:dyDescent="0.35">
      <c r="A230"/>
      <c r="B230" t="s">
        <v>5740</v>
      </c>
      <c r="C230"/>
      <c r="D230"/>
      <c r="E230"/>
    </row>
    <row r="231" spans="1:5" ht="12.75" customHeight="1" x14ac:dyDescent="0.35">
      <c r="A231"/>
      <c r="B231"/>
      <c r="C231" t="s">
        <v>5741</v>
      </c>
      <c r="D231"/>
      <c r="E231"/>
    </row>
    <row r="232" spans="1:5" ht="12.75" customHeight="1" x14ac:dyDescent="0.35">
      <c r="A232"/>
      <c r="B232"/>
      <c r="C232"/>
      <c r="D232"/>
      <c r="E232"/>
    </row>
    <row r="233" spans="1:5" ht="12.75" customHeight="1" x14ac:dyDescent="0.35">
      <c r="A233"/>
      <c r="B233"/>
      <c r="C233"/>
      <c r="D233"/>
      <c r="E233"/>
    </row>
    <row r="234" spans="1:5" ht="12.75" customHeight="1" x14ac:dyDescent="0.35">
      <c r="A234"/>
      <c r="B234" t="s">
        <v>5740</v>
      </c>
      <c r="C234"/>
      <c r="D234"/>
      <c r="E234"/>
    </row>
    <row r="235" spans="1:5" ht="12.75" customHeight="1" x14ac:dyDescent="0.35">
      <c r="A235"/>
      <c r="B235"/>
      <c r="C235" t="s">
        <v>5742</v>
      </c>
      <c r="D235"/>
      <c r="E235"/>
    </row>
    <row r="236" spans="1:5" ht="12.75" customHeight="1" x14ac:dyDescent="0.35">
      <c r="A236"/>
      <c r="B236"/>
      <c r="C236"/>
      <c r="D236"/>
      <c r="E236"/>
    </row>
    <row r="237" spans="1:5" ht="12.75" customHeight="1" x14ac:dyDescent="0.35">
      <c r="A237"/>
      <c r="B237"/>
      <c r="C237"/>
      <c r="D237"/>
      <c r="E237"/>
    </row>
    <row r="238" spans="1:5" ht="12.75" customHeight="1" x14ac:dyDescent="0.35">
      <c r="A238"/>
      <c r="B238"/>
      <c r="C238"/>
      <c r="D238"/>
      <c r="E238"/>
    </row>
    <row r="239" spans="1:5" ht="12.75" customHeight="1" x14ac:dyDescent="0.35">
      <c r="A239"/>
      <c r="B239"/>
      <c r="C239"/>
      <c r="D239"/>
      <c r="E239"/>
    </row>
    <row r="240" spans="1:5" ht="12.75" customHeight="1" x14ac:dyDescent="0.35">
      <c r="A240"/>
      <c r="B240" t="s">
        <v>5740</v>
      </c>
      <c r="C240"/>
      <c r="D240"/>
      <c r="E240"/>
    </row>
    <row r="241" spans="1:5" ht="12.75" customHeight="1" x14ac:dyDescent="0.35">
      <c r="A241"/>
      <c r="B241"/>
      <c r="C241" t="s">
        <v>5741</v>
      </c>
      <c r="D241"/>
      <c r="E241"/>
    </row>
    <row r="242" spans="1:5" ht="12.75" customHeight="1" x14ac:dyDescent="0.35">
      <c r="A242"/>
      <c r="B242"/>
      <c r="C242"/>
      <c r="D242"/>
      <c r="E242"/>
    </row>
    <row r="243" spans="1:5" ht="12.75" customHeight="1" x14ac:dyDescent="0.35">
      <c r="A243"/>
      <c r="B243"/>
      <c r="C243"/>
      <c r="D243"/>
      <c r="E243"/>
    </row>
    <row r="244" spans="1:5" ht="12.75" customHeight="1" x14ac:dyDescent="0.35">
      <c r="A244"/>
      <c r="B244" t="s">
        <v>5740</v>
      </c>
      <c r="C244"/>
      <c r="D244"/>
      <c r="E244"/>
    </row>
    <row r="245" spans="1:5" ht="12.75" customHeight="1" x14ac:dyDescent="0.35">
      <c r="A245"/>
      <c r="B245"/>
      <c r="C245" t="s">
        <v>5742</v>
      </c>
      <c r="D245"/>
      <c r="E245"/>
    </row>
    <row r="246" spans="1:5" ht="12.75" customHeight="1" x14ac:dyDescent="0.35">
      <c r="A246"/>
      <c r="B246"/>
      <c r="C246"/>
      <c r="D246"/>
      <c r="E246"/>
    </row>
    <row r="247" spans="1:5" ht="12.75" customHeight="1" x14ac:dyDescent="0.35">
      <c r="A247"/>
      <c r="B247"/>
      <c r="C247"/>
      <c r="D247"/>
      <c r="E247"/>
    </row>
    <row r="248" spans="1:5" ht="12.75" customHeight="1" x14ac:dyDescent="0.35">
      <c r="A248"/>
      <c r="B248"/>
      <c r="C248"/>
      <c r="D248"/>
      <c r="E248"/>
    </row>
    <row r="249" spans="1:5" ht="12.75" customHeight="1" x14ac:dyDescent="0.35">
      <c r="A249"/>
      <c r="B249"/>
      <c r="C249"/>
      <c r="D249"/>
      <c r="E249"/>
    </row>
    <row r="250" spans="1:5" ht="12.75" customHeight="1" x14ac:dyDescent="0.35">
      <c r="A250"/>
      <c r="B250" t="s">
        <v>5740</v>
      </c>
      <c r="C250"/>
      <c r="D250"/>
      <c r="E250"/>
    </row>
    <row r="251" spans="1:5" ht="12.75" customHeight="1" x14ac:dyDescent="0.35">
      <c r="A251"/>
      <c r="B251"/>
      <c r="C251" t="s">
        <v>5741</v>
      </c>
      <c r="D251"/>
      <c r="E251"/>
    </row>
    <row r="252" spans="1:5" ht="12.75" customHeight="1" x14ac:dyDescent="0.35">
      <c r="A252"/>
      <c r="B252"/>
      <c r="C252"/>
      <c r="D252"/>
      <c r="E252"/>
    </row>
    <row r="253" spans="1:5" ht="12.75" customHeight="1" x14ac:dyDescent="0.35">
      <c r="A253"/>
      <c r="B253"/>
      <c r="C253"/>
      <c r="D253"/>
      <c r="E253"/>
    </row>
    <row r="254" spans="1:5" ht="12.75" customHeight="1" x14ac:dyDescent="0.35">
      <c r="A254"/>
      <c r="B254" t="s">
        <v>5740</v>
      </c>
      <c r="C254"/>
      <c r="D254"/>
      <c r="E254"/>
    </row>
    <row r="255" spans="1:5" ht="12.75" customHeight="1" x14ac:dyDescent="0.35">
      <c r="A255"/>
      <c r="B255"/>
      <c r="C255" t="s">
        <v>5742</v>
      </c>
      <c r="D255"/>
      <c r="E255"/>
    </row>
    <row r="256" spans="1:5" ht="12.75" customHeight="1" x14ac:dyDescent="0.35">
      <c r="A256"/>
      <c r="B256"/>
      <c r="C256"/>
      <c r="D256"/>
      <c r="E256"/>
    </row>
    <row r="257" spans="1:5" ht="12.75" customHeight="1" x14ac:dyDescent="0.35">
      <c r="A257"/>
      <c r="B257"/>
      <c r="C257"/>
      <c r="D257"/>
      <c r="E257"/>
    </row>
    <row r="258" spans="1:5" ht="12.75" customHeight="1" x14ac:dyDescent="0.35">
      <c r="A258"/>
      <c r="B258"/>
      <c r="C258"/>
      <c r="D258"/>
      <c r="E258"/>
    </row>
    <row r="259" spans="1:5" ht="12.75" customHeight="1" x14ac:dyDescent="0.35">
      <c r="A259"/>
      <c r="B259"/>
      <c r="C259"/>
      <c r="D259"/>
      <c r="E259"/>
    </row>
    <row r="260" spans="1:5" ht="12.75" customHeight="1" x14ac:dyDescent="0.35">
      <c r="A260"/>
      <c r="B260" t="s">
        <v>5740</v>
      </c>
      <c r="C260"/>
      <c r="D260"/>
      <c r="E260"/>
    </row>
    <row r="261" spans="1:5" ht="12.75" customHeight="1" x14ac:dyDescent="0.35">
      <c r="A261"/>
      <c r="B261"/>
      <c r="C261" t="s">
        <v>5741</v>
      </c>
      <c r="D261"/>
      <c r="E261"/>
    </row>
    <row r="262" spans="1:5" ht="12.75" customHeight="1" x14ac:dyDescent="0.35">
      <c r="A262"/>
      <c r="B262"/>
      <c r="C262"/>
      <c r="D262"/>
      <c r="E262"/>
    </row>
    <row r="263" spans="1:5" ht="12.75" customHeight="1" x14ac:dyDescent="0.35">
      <c r="A263"/>
      <c r="B263"/>
      <c r="C263"/>
      <c r="D263"/>
      <c r="E263"/>
    </row>
    <row r="264" spans="1:5" ht="12.75" customHeight="1" x14ac:dyDescent="0.35">
      <c r="A264"/>
      <c r="B264" t="s">
        <v>5740</v>
      </c>
      <c r="C264"/>
      <c r="D264"/>
      <c r="E264"/>
    </row>
    <row r="265" spans="1:5" ht="12.75" customHeight="1" x14ac:dyDescent="0.35">
      <c r="A265"/>
      <c r="B265"/>
      <c r="C265" t="s">
        <v>5742</v>
      </c>
      <c r="D265"/>
      <c r="E265"/>
    </row>
    <row r="266" spans="1:5" ht="12.75" customHeight="1" x14ac:dyDescent="0.35">
      <c r="A266"/>
      <c r="B266"/>
      <c r="C266"/>
      <c r="D266"/>
      <c r="E266"/>
    </row>
    <row r="267" spans="1:5" ht="12.75" customHeight="1" x14ac:dyDescent="0.35">
      <c r="A267"/>
      <c r="B267"/>
      <c r="C267"/>
      <c r="D267"/>
      <c r="E267"/>
    </row>
    <row r="268" spans="1:5" ht="12.75" customHeight="1" x14ac:dyDescent="0.35">
      <c r="A268"/>
      <c r="B268"/>
      <c r="C268"/>
      <c r="D268"/>
      <c r="E268"/>
    </row>
    <row r="269" spans="1:5" ht="12.75" customHeight="1" x14ac:dyDescent="0.35">
      <c r="A269"/>
      <c r="B269"/>
      <c r="C269"/>
      <c r="D269"/>
      <c r="E269"/>
    </row>
    <row r="270" spans="1:5" ht="12.75" customHeight="1" x14ac:dyDescent="0.35">
      <c r="A270"/>
      <c r="B270" t="s">
        <v>5740</v>
      </c>
      <c r="C270"/>
      <c r="D270"/>
      <c r="E270"/>
    </row>
    <row r="271" spans="1:5" ht="12.75" customHeight="1" x14ac:dyDescent="0.35">
      <c r="A271"/>
      <c r="B271"/>
      <c r="C271" t="s">
        <v>5741</v>
      </c>
      <c r="D271"/>
      <c r="E271"/>
    </row>
    <row r="272" spans="1:5" ht="12.75" customHeight="1" x14ac:dyDescent="0.35">
      <c r="A272"/>
      <c r="B272"/>
      <c r="C272"/>
      <c r="D272"/>
      <c r="E272"/>
    </row>
    <row r="273" spans="1:5" ht="12.75" customHeight="1" x14ac:dyDescent="0.35">
      <c r="A273"/>
      <c r="B273"/>
      <c r="C273"/>
      <c r="D273"/>
      <c r="E273"/>
    </row>
    <row r="274" spans="1:5" ht="12.75" customHeight="1" x14ac:dyDescent="0.35">
      <c r="A274"/>
      <c r="B274" t="s">
        <v>5740</v>
      </c>
      <c r="C274"/>
      <c r="D274"/>
      <c r="E274"/>
    </row>
    <row r="275" spans="1:5" ht="12.75" customHeight="1" x14ac:dyDescent="0.35">
      <c r="A275"/>
      <c r="B275"/>
      <c r="C275" t="s">
        <v>5742</v>
      </c>
      <c r="D275"/>
      <c r="E275"/>
    </row>
    <row r="276" spans="1:5" ht="12.75" customHeight="1" x14ac:dyDescent="0.35">
      <c r="A276"/>
      <c r="B276"/>
      <c r="C276"/>
      <c r="D276"/>
      <c r="E276"/>
    </row>
    <row r="277" spans="1:5" ht="12.75" customHeight="1" x14ac:dyDescent="0.35">
      <c r="A277"/>
      <c r="B277"/>
      <c r="C277"/>
      <c r="D277"/>
      <c r="E277"/>
    </row>
    <row r="278" spans="1:5" ht="12.75" customHeight="1" x14ac:dyDescent="0.35">
      <c r="A278"/>
      <c r="B278"/>
      <c r="C278"/>
      <c r="D278"/>
      <c r="E278"/>
    </row>
    <row r="279" spans="1:5" ht="12.75" customHeight="1" x14ac:dyDescent="0.35">
      <c r="A279"/>
      <c r="B279"/>
      <c r="C279"/>
      <c r="D279"/>
      <c r="E279"/>
    </row>
    <row r="280" spans="1:5" ht="12.75" customHeight="1" x14ac:dyDescent="0.35">
      <c r="A280"/>
      <c r="B280" t="s">
        <v>5740</v>
      </c>
      <c r="C280"/>
      <c r="D280"/>
      <c r="E280"/>
    </row>
    <row r="281" spans="1:5" ht="12.75" customHeight="1" x14ac:dyDescent="0.35">
      <c r="A281"/>
      <c r="B281"/>
      <c r="C281" t="s">
        <v>5741</v>
      </c>
      <c r="D281"/>
      <c r="E281"/>
    </row>
    <row r="282" spans="1:5" ht="12.75" customHeight="1" x14ac:dyDescent="0.35">
      <c r="A282"/>
      <c r="B282"/>
      <c r="C282"/>
      <c r="D282"/>
      <c r="E282"/>
    </row>
    <row r="283" spans="1:5" ht="12.75" customHeight="1" x14ac:dyDescent="0.35">
      <c r="A283"/>
      <c r="B283"/>
      <c r="C283"/>
      <c r="D283"/>
      <c r="E283"/>
    </row>
    <row r="284" spans="1:5" ht="12.75" customHeight="1" x14ac:dyDescent="0.35">
      <c r="A284"/>
      <c r="B284" t="s">
        <v>5740</v>
      </c>
      <c r="C284"/>
      <c r="D284"/>
      <c r="E284"/>
    </row>
    <row r="285" spans="1:5" ht="12.75" customHeight="1" x14ac:dyDescent="0.35">
      <c r="A285"/>
      <c r="B285"/>
      <c r="C285" t="s">
        <v>5742</v>
      </c>
      <c r="D285"/>
      <c r="E285"/>
    </row>
    <row r="286" spans="1:5" ht="12.75" customHeight="1" x14ac:dyDescent="0.35">
      <c r="A286"/>
      <c r="B286"/>
      <c r="C286"/>
      <c r="D286"/>
      <c r="E286"/>
    </row>
    <row r="287" spans="1:5" ht="12.75" customHeight="1" x14ac:dyDescent="0.35">
      <c r="A287"/>
      <c r="B287"/>
      <c r="C287"/>
      <c r="D287"/>
      <c r="E287"/>
    </row>
    <row r="288" spans="1:5" ht="12.75" customHeight="1" x14ac:dyDescent="0.35">
      <c r="A288"/>
      <c r="B288"/>
      <c r="C288"/>
      <c r="D288"/>
      <c r="E288"/>
    </row>
    <row r="289" spans="1:5" ht="12.75" customHeight="1" x14ac:dyDescent="0.35">
      <c r="A289"/>
      <c r="B289"/>
      <c r="C289"/>
      <c r="D289"/>
      <c r="E289"/>
    </row>
    <row r="290" spans="1:5" ht="12.75" customHeight="1" x14ac:dyDescent="0.35">
      <c r="A290"/>
      <c r="B290" t="s">
        <v>5740</v>
      </c>
      <c r="C290"/>
      <c r="D290"/>
      <c r="E290"/>
    </row>
    <row r="291" spans="1:5" ht="12.75" customHeight="1" x14ac:dyDescent="0.35">
      <c r="A291"/>
      <c r="B291"/>
      <c r="C291" t="s">
        <v>5741</v>
      </c>
      <c r="D291"/>
      <c r="E291"/>
    </row>
    <row r="292" spans="1:5" ht="12.75" customHeight="1" x14ac:dyDescent="0.35">
      <c r="A292"/>
      <c r="B292"/>
      <c r="C292"/>
      <c r="D292"/>
      <c r="E292"/>
    </row>
    <row r="293" spans="1:5" ht="12.75" customHeight="1" x14ac:dyDescent="0.35">
      <c r="A293"/>
      <c r="B293"/>
      <c r="C293"/>
      <c r="D293"/>
      <c r="E293"/>
    </row>
    <row r="294" spans="1:5" ht="12.75" customHeight="1" x14ac:dyDescent="0.35">
      <c r="A294"/>
      <c r="B294" t="s">
        <v>5740</v>
      </c>
      <c r="C294"/>
      <c r="D294"/>
      <c r="E294"/>
    </row>
    <row r="295" spans="1:5" ht="12.75" customHeight="1" x14ac:dyDescent="0.35">
      <c r="A295"/>
      <c r="B295"/>
      <c r="C295" t="s">
        <v>5742</v>
      </c>
      <c r="D295"/>
      <c r="E295"/>
    </row>
    <row r="296" spans="1:5" ht="12.75" customHeight="1" x14ac:dyDescent="0.35">
      <c r="A296"/>
      <c r="B296"/>
      <c r="C296"/>
      <c r="D296"/>
      <c r="E296"/>
    </row>
    <row r="297" spans="1:5" ht="12.75" customHeight="1" x14ac:dyDescent="0.35">
      <c r="A297"/>
      <c r="B297"/>
      <c r="C297"/>
      <c r="D297"/>
      <c r="E297"/>
    </row>
    <row r="298" spans="1:5" ht="12.75" customHeight="1" x14ac:dyDescent="0.35">
      <c r="A298"/>
      <c r="B298"/>
      <c r="C298"/>
      <c r="D298"/>
      <c r="E298"/>
    </row>
    <row r="299" spans="1:5" ht="12.75" customHeight="1" x14ac:dyDescent="0.35">
      <c r="A299"/>
      <c r="B299"/>
      <c r="C299"/>
      <c r="D299"/>
      <c r="E299"/>
    </row>
    <row r="300" spans="1:5" ht="12.75" customHeight="1" x14ac:dyDescent="0.35">
      <c r="A300"/>
      <c r="B300" t="s">
        <v>5740</v>
      </c>
      <c r="C300"/>
      <c r="D300"/>
      <c r="E300"/>
    </row>
    <row r="301" spans="1:5" ht="12.75" customHeight="1" x14ac:dyDescent="0.35">
      <c r="A301"/>
      <c r="B301"/>
      <c r="C301" t="s">
        <v>5741</v>
      </c>
      <c r="D301"/>
      <c r="E301"/>
    </row>
    <row r="302" spans="1:5" ht="12.75" customHeight="1" x14ac:dyDescent="0.35">
      <c r="A302"/>
      <c r="B302"/>
      <c r="C302"/>
      <c r="D302"/>
      <c r="E302"/>
    </row>
    <row r="303" spans="1:5" ht="12.75" customHeight="1" x14ac:dyDescent="0.35">
      <c r="A303"/>
      <c r="B303"/>
      <c r="C303"/>
      <c r="D303"/>
      <c r="E303"/>
    </row>
    <row r="304" spans="1:5" ht="12.75" customHeight="1" x14ac:dyDescent="0.35">
      <c r="A304"/>
      <c r="B304" t="s">
        <v>3913</v>
      </c>
      <c r="C304"/>
      <c r="D304"/>
      <c r="E304"/>
    </row>
    <row r="305" spans="1:5" ht="12.75" customHeight="1" x14ac:dyDescent="0.35">
      <c r="A305"/>
      <c r="B305"/>
      <c r="C305" t="s">
        <v>5742</v>
      </c>
      <c r="D305"/>
      <c r="E305"/>
    </row>
    <row r="306" spans="1:5" ht="12.75" customHeight="1" x14ac:dyDescent="0.35">
      <c r="A306"/>
      <c r="B306"/>
      <c r="C306"/>
      <c r="D306"/>
      <c r="E306"/>
    </row>
    <row r="307" spans="1:5" ht="12.75" customHeight="1" x14ac:dyDescent="0.35">
      <c r="A307"/>
      <c r="B307"/>
      <c r="C307"/>
      <c r="D307"/>
      <c r="E307"/>
    </row>
    <row r="308" spans="1:5" ht="12.75" customHeight="1" x14ac:dyDescent="0.35">
      <c r="A308"/>
      <c r="B308"/>
      <c r="C308"/>
      <c r="D308"/>
      <c r="E308"/>
    </row>
    <row r="309" spans="1:5" ht="12.75" customHeight="1" x14ac:dyDescent="0.35">
      <c r="A309"/>
      <c r="B309"/>
      <c r="C309"/>
      <c r="D309"/>
      <c r="E309"/>
    </row>
    <row r="310" spans="1:5" ht="12.75" customHeight="1" x14ac:dyDescent="0.35">
      <c r="A310"/>
      <c r="B310" t="s">
        <v>5740</v>
      </c>
      <c r="C310"/>
      <c r="D310"/>
      <c r="E310"/>
    </row>
    <row r="311" spans="1:5" ht="12.75" customHeight="1" x14ac:dyDescent="0.35">
      <c r="A311"/>
      <c r="B311"/>
      <c r="C311" t="s">
        <v>5741</v>
      </c>
      <c r="D311"/>
      <c r="E311"/>
    </row>
    <row r="312" spans="1:5" ht="12.75" customHeight="1" x14ac:dyDescent="0.35">
      <c r="A312"/>
      <c r="B312"/>
      <c r="C312"/>
      <c r="D312"/>
      <c r="E312"/>
    </row>
    <row r="313" spans="1:5" ht="12.75" customHeight="1" x14ac:dyDescent="0.35">
      <c r="A313"/>
      <c r="B313"/>
      <c r="C313"/>
      <c r="D313"/>
      <c r="E313"/>
    </row>
    <row r="314" spans="1:5" ht="12.75" customHeight="1" x14ac:dyDescent="0.35">
      <c r="A314"/>
      <c r="B314" t="s">
        <v>5740</v>
      </c>
      <c r="C314"/>
      <c r="D314"/>
      <c r="E314"/>
    </row>
    <row r="315" spans="1:5" ht="12.75" customHeight="1" x14ac:dyDescent="0.35">
      <c r="A315"/>
      <c r="B315"/>
      <c r="C315" t="s">
        <v>5742</v>
      </c>
      <c r="D315"/>
      <c r="E315"/>
    </row>
    <row r="316" spans="1:5" ht="12.75" customHeight="1" x14ac:dyDescent="0.35">
      <c r="A316"/>
      <c r="B316"/>
      <c r="C316"/>
      <c r="D316"/>
      <c r="E316"/>
    </row>
    <row r="317" spans="1:5" ht="12.75" customHeight="1" x14ac:dyDescent="0.35">
      <c r="A317"/>
      <c r="B317"/>
      <c r="C317"/>
      <c r="D317"/>
      <c r="E317"/>
    </row>
    <row r="318" spans="1:5" ht="12.75" customHeight="1" x14ac:dyDescent="0.35">
      <c r="A318"/>
      <c r="B318" t="s">
        <v>3916</v>
      </c>
      <c r="C318"/>
      <c r="D318"/>
      <c r="E318"/>
    </row>
    <row r="319" spans="1:5" ht="12.75" customHeight="1" x14ac:dyDescent="0.35">
      <c r="A319"/>
      <c r="B319" t="s">
        <v>5743</v>
      </c>
      <c r="C319"/>
      <c r="D319"/>
      <c r="E319"/>
    </row>
    <row r="320" spans="1:5" ht="12.75" customHeight="1" x14ac:dyDescent="0.35">
      <c r="A320"/>
      <c r="B320" t="s">
        <v>2539</v>
      </c>
      <c r="C320"/>
      <c r="D320"/>
      <c r="E320"/>
    </row>
    <row r="321" spans="1:5" ht="12.75" customHeight="1" x14ac:dyDescent="0.35">
      <c r="A321"/>
      <c r="B321" t="s">
        <v>5744</v>
      </c>
      <c r="C321"/>
      <c r="D321"/>
      <c r="E321"/>
    </row>
    <row r="322" spans="1:5" ht="12.75" customHeight="1" x14ac:dyDescent="0.35">
      <c r="A322"/>
      <c r="B322" t="s">
        <v>5741</v>
      </c>
      <c r="C322"/>
      <c r="D322"/>
      <c r="E322"/>
    </row>
    <row r="323" spans="1:5" ht="12.75" customHeight="1" x14ac:dyDescent="0.35">
      <c r="A323"/>
      <c r="B323" t="s">
        <v>5745</v>
      </c>
      <c r="C323"/>
      <c r="D323"/>
      <c r="E323"/>
    </row>
    <row r="324" spans="1:5" ht="12.75" customHeight="1" x14ac:dyDescent="0.35">
      <c r="A324"/>
      <c r="B324" t="s">
        <v>5746</v>
      </c>
      <c r="C324"/>
      <c r="D324"/>
      <c r="E324"/>
    </row>
    <row r="325" spans="1:5" ht="12.75" customHeight="1" x14ac:dyDescent="0.35">
      <c r="A325"/>
      <c r="B325" t="s">
        <v>5739</v>
      </c>
      <c r="C325"/>
      <c r="D325"/>
      <c r="E325"/>
    </row>
    <row r="326" spans="1:5" ht="12.75" customHeight="1" x14ac:dyDescent="0.35">
      <c r="A326"/>
      <c r="B326" t="s">
        <v>5744</v>
      </c>
      <c r="C326"/>
      <c r="D326"/>
      <c r="E326"/>
    </row>
    <row r="327" spans="1:5" ht="12.75" customHeight="1" x14ac:dyDescent="0.35">
      <c r="A327"/>
      <c r="B327" s="1284" t="s">
        <v>5742</v>
      </c>
      <c r="C327"/>
      <c r="D327"/>
      <c r="E327"/>
    </row>
    <row r="328" spans="1:5" ht="12.75" customHeight="1" x14ac:dyDescent="0.35">
      <c r="A328"/>
      <c r="B328"/>
      <c r="C328"/>
      <c r="D328"/>
      <c r="E328"/>
    </row>
    <row r="329" spans="1:5" ht="12.75" customHeight="1" x14ac:dyDescent="0.35">
      <c r="A329"/>
      <c r="B329" t="s">
        <v>5747</v>
      </c>
      <c r="C329"/>
      <c r="D329"/>
      <c r="E329"/>
    </row>
    <row r="330" spans="1:5" ht="12.75" customHeight="1" x14ac:dyDescent="0.35">
      <c r="A330"/>
      <c r="B330" t="s">
        <v>5748</v>
      </c>
      <c r="C330"/>
      <c r="D330"/>
      <c r="E330"/>
    </row>
    <row r="331" spans="1:5" ht="12.75" customHeight="1" x14ac:dyDescent="0.35">
      <c r="A331"/>
      <c r="B331" t="s">
        <v>5749</v>
      </c>
      <c r="C331"/>
      <c r="D331"/>
      <c r="E331"/>
    </row>
    <row r="332" spans="1:5" ht="12.75" customHeight="1" x14ac:dyDescent="0.35">
      <c r="A332"/>
      <c r="B332" t="s">
        <v>5750</v>
      </c>
      <c r="C332"/>
      <c r="D332"/>
      <c r="E332"/>
    </row>
    <row r="333" spans="1:5" ht="12.75" customHeight="1" x14ac:dyDescent="0.35">
      <c r="A333"/>
      <c r="B333" t="s">
        <v>5751</v>
      </c>
      <c r="C333"/>
      <c r="D333"/>
      <c r="E333"/>
    </row>
    <row r="334" spans="1:5" ht="12.75" customHeight="1" x14ac:dyDescent="0.35">
      <c r="A334"/>
      <c r="B334"/>
      <c r="C334"/>
      <c r="D334"/>
      <c r="E334"/>
    </row>
    <row r="335" spans="1:5" ht="12.75" customHeight="1" x14ac:dyDescent="0.35">
      <c r="A335"/>
      <c r="B335" t="s">
        <v>5752</v>
      </c>
      <c r="C335"/>
      <c r="D335" t="s">
        <v>3927</v>
      </c>
      <c r="E335"/>
    </row>
    <row r="336" spans="1:5" ht="12.75" customHeight="1" x14ac:dyDescent="0.35">
      <c r="A336"/>
      <c r="B336" t="s">
        <v>3928</v>
      </c>
      <c r="C336"/>
      <c r="D336"/>
      <c r="E336"/>
    </row>
    <row r="337" spans="1:5" ht="12.75" customHeight="1" x14ac:dyDescent="0.35">
      <c r="A337"/>
      <c r="B337" t="s">
        <v>5753</v>
      </c>
      <c r="C337"/>
      <c r="D337"/>
      <c r="E337"/>
    </row>
    <row r="338" spans="1:5" ht="12.75" customHeight="1" x14ac:dyDescent="0.35">
      <c r="A338"/>
      <c r="B338" t="s">
        <v>5754</v>
      </c>
      <c r="C338"/>
      <c r="D338"/>
      <c r="E338"/>
    </row>
    <row r="339" spans="1:5" ht="12.75" customHeight="1" x14ac:dyDescent="0.35">
      <c r="A339"/>
      <c r="B339" t="s">
        <v>5755</v>
      </c>
      <c r="C339"/>
      <c r="D339"/>
      <c r="E339"/>
    </row>
    <row r="340" spans="1:5" ht="12.75" customHeight="1" x14ac:dyDescent="0.35">
      <c r="A340"/>
      <c r="B340" t="s">
        <v>5756</v>
      </c>
      <c r="C340"/>
      <c r="D340"/>
      <c r="E340"/>
    </row>
    <row r="341" spans="1:5" ht="12.75" customHeight="1" x14ac:dyDescent="0.35">
      <c r="A341"/>
      <c r="B341" t="s">
        <v>5757</v>
      </c>
      <c r="C341"/>
      <c r="D341"/>
      <c r="E341"/>
    </row>
    <row r="342" spans="1:5" ht="12.75" customHeight="1" x14ac:dyDescent="0.35">
      <c r="A342"/>
      <c r="B342" t="s">
        <v>5758</v>
      </c>
      <c r="C342"/>
      <c r="D342"/>
      <c r="E342"/>
    </row>
    <row r="343" spans="1:5" ht="12.75" customHeight="1" x14ac:dyDescent="0.35">
      <c r="A343"/>
      <c r="B343" t="s">
        <v>5759</v>
      </c>
      <c r="C343"/>
      <c r="D343"/>
      <c r="E343"/>
    </row>
    <row r="344" spans="1:5" ht="12.75" customHeight="1" x14ac:dyDescent="0.35">
      <c r="A344"/>
      <c r="B344" t="s">
        <v>5760</v>
      </c>
      <c r="C344"/>
      <c r="D344"/>
      <c r="E344"/>
    </row>
    <row r="345" spans="1:5" ht="12.75" customHeight="1" x14ac:dyDescent="0.35">
      <c r="A345"/>
      <c r="B345" t="s">
        <v>5761</v>
      </c>
      <c r="C345"/>
      <c r="D345"/>
      <c r="E345"/>
    </row>
    <row r="346" spans="1:5" ht="12.75" customHeight="1" x14ac:dyDescent="0.35">
      <c r="A346"/>
      <c r="B346" t="s">
        <v>5760</v>
      </c>
      <c r="C346"/>
      <c r="D346"/>
      <c r="E346"/>
    </row>
    <row r="347" spans="1:5" ht="12.75" customHeight="1" x14ac:dyDescent="0.35">
      <c r="A347"/>
      <c r="B347"/>
      <c r="C347" t="s">
        <v>5762</v>
      </c>
      <c r="D347"/>
      <c r="E347"/>
    </row>
    <row r="348" spans="1:5" ht="12.75" customHeight="1" x14ac:dyDescent="0.35">
      <c r="A348"/>
      <c r="B348"/>
      <c r="C348"/>
      <c r="D348"/>
      <c r="E348"/>
    </row>
    <row r="349" spans="1:5" ht="12.75" customHeight="1" x14ac:dyDescent="0.35">
      <c r="A349"/>
      <c r="B349"/>
      <c r="C349" t="s">
        <v>5763</v>
      </c>
      <c r="D349"/>
      <c r="E349"/>
    </row>
    <row r="350" spans="1:5" ht="12.75" customHeight="1" x14ac:dyDescent="0.35">
      <c r="A350"/>
      <c r="B350"/>
      <c r="C350" t="s">
        <v>2539</v>
      </c>
      <c r="D350"/>
      <c r="E350"/>
    </row>
    <row r="351" spans="1:5" ht="12.75" customHeight="1" x14ac:dyDescent="0.35">
      <c r="A351"/>
      <c r="B351"/>
      <c r="C351" t="s">
        <v>3941</v>
      </c>
      <c r="D351"/>
      <c r="E351"/>
    </row>
    <row r="352" spans="1:5" ht="12.75" customHeight="1" x14ac:dyDescent="0.35">
      <c r="A352"/>
      <c r="B352"/>
      <c r="C352"/>
      <c r="D352"/>
      <c r="E352"/>
    </row>
    <row r="353" spans="1:5" ht="12.75" customHeight="1" x14ac:dyDescent="0.35">
      <c r="A353"/>
      <c r="B353"/>
      <c r="C353"/>
      <c r="D353"/>
      <c r="E353"/>
    </row>
    <row r="354" spans="1:5" ht="12.75" customHeight="1" x14ac:dyDescent="0.35">
      <c r="A354"/>
      <c r="B354"/>
      <c r="C354"/>
      <c r="D354"/>
      <c r="E354"/>
    </row>
    <row r="355" spans="1:5" ht="12.75" customHeight="1" x14ac:dyDescent="0.35">
      <c r="A355"/>
      <c r="B355"/>
      <c r="C355"/>
      <c r="D355"/>
      <c r="E355"/>
    </row>
    <row r="356" spans="1:5" ht="12.75" customHeight="1" x14ac:dyDescent="0.35">
      <c r="A356"/>
      <c r="B356"/>
      <c r="C356"/>
      <c r="D356"/>
      <c r="E356"/>
    </row>
    <row r="357" spans="1:5" ht="12.75" customHeight="1" x14ac:dyDescent="0.35">
      <c r="A357"/>
      <c r="B357"/>
      <c r="C357"/>
      <c r="D357"/>
      <c r="E357"/>
    </row>
    <row r="358" spans="1:5" ht="12.75" customHeight="1" x14ac:dyDescent="0.35">
      <c r="A358"/>
      <c r="B358"/>
      <c r="C358"/>
      <c r="D358"/>
      <c r="E358"/>
    </row>
    <row r="359" spans="1:5" ht="12.75" customHeight="1" x14ac:dyDescent="0.35">
      <c r="A359"/>
      <c r="B359"/>
      <c r="C359"/>
      <c r="D359"/>
      <c r="E359"/>
    </row>
    <row r="360" spans="1:5" ht="12.75" customHeight="1" x14ac:dyDescent="0.35">
      <c r="A360"/>
      <c r="B360"/>
      <c r="C360"/>
      <c r="D360"/>
      <c r="E360"/>
    </row>
    <row r="361" spans="1:5" ht="12.75" customHeight="1" x14ac:dyDescent="0.35">
      <c r="A361"/>
      <c r="B361"/>
      <c r="C361"/>
      <c r="D361"/>
      <c r="E361"/>
    </row>
    <row r="362" spans="1:5" ht="12.75" customHeight="1" x14ac:dyDescent="0.35">
      <c r="A362"/>
      <c r="B362"/>
      <c r="C362"/>
      <c r="D362"/>
      <c r="E362"/>
    </row>
    <row r="363" spans="1:5" ht="12.75" customHeight="1" x14ac:dyDescent="0.35">
      <c r="A363"/>
      <c r="B363"/>
      <c r="C363"/>
      <c r="D363"/>
      <c r="E363"/>
    </row>
    <row r="364" spans="1:5" ht="12.75" customHeight="1" x14ac:dyDescent="0.35">
      <c r="A364"/>
      <c r="B364"/>
      <c r="C364"/>
      <c r="D364"/>
      <c r="E364"/>
    </row>
    <row r="365" spans="1:5" ht="12.75" customHeight="1" x14ac:dyDescent="0.35">
      <c r="A365"/>
      <c r="B365"/>
      <c r="C365"/>
      <c r="D365"/>
      <c r="E365"/>
    </row>
    <row r="366" spans="1:5" ht="12.75" customHeight="1" x14ac:dyDescent="0.35">
      <c r="A366"/>
      <c r="B366"/>
      <c r="C366"/>
      <c r="D366"/>
      <c r="E366"/>
    </row>
    <row r="367" spans="1:5" ht="12.75" customHeight="1" x14ac:dyDescent="0.35">
      <c r="A367"/>
      <c r="B367"/>
      <c r="C367"/>
      <c r="D367"/>
      <c r="E367"/>
    </row>
    <row r="368" spans="1:5" ht="12.75" customHeight="1" x14ac:dyDescent="0.35">
      <c r="A368"/>
      <c r="B368"/>
      <c r="C368"/>
      <c r="D368"/>
      <c r="E368"/>
    </row>
    <row r="369" spans="1:5" ht="12.75" customHeight="1" x14ac:dyDescent="0.35">
      <c r="A369"/>
      <c r="B369"/>
      <c r="C369"/>
      <c r="D369"/>
      <c r="E369"/>
    </row>
    <row r="370" spans="1:5" ht="12.75" customHeight="1" x14ac:dyDescent="0.35">
      <c r="A370"/>
      <c r="B370"/>
      <c r="C370"/>
      <c r="D370"/>
      <c r="E370"/>
    </row>
    <row r="371" spans="1:5" ht="12.75" customHeight="1" x14ac:dyDescent="0.35">
      <c r="A371"/>
      <c r="B371"/>
      <c r="C371"/>
      <c r="D371"/>
      <c r="E371"/>
    </row>
    <row r="372" spans="1:5" ht="12.75" customHeight="1" x14ac:dyDescent="0.35">
      <c r="A372"/>
      <c r="B372"/>
      <c r="C372"/>
      <c r="D372"/>
      <c r="E372"/>
    </row>
    <row r="373" spans="1:5" ht="12.75" customHeight="1" x14ac:dyDescent="0.35">
      <c r="A373"/>
      <c r="B373"/>
      <c r="C373"/>
      <c r="D373"/>
      <c r="E373"/>
    </row>
    <row r="374" spans="1:5" ht="12.75" customHeight="1" x14ac:dyDescent="0.35">
      <c r="A374"/>
      <c r="B374"/>
      <c r="C374"/>
      <c r="D374"/>
      <c r="E374"/>
    </row>
    <row r="375" spans="1:5" ht="12.75" customHeight="1" x14ac:dyDescent="0.35">
      <c r="A375"/>
      <c r="B375"/>
      <c r="C375"/>
      <c r="D375"/>
      <c r="E375"/>
    </row>
    <row r="376" spans="1:5" ht="12.75" customHeight="1" x14ac:dyDescent="0.35">
      <c r="A376"/>
      <c r="B376"/>
      <c r="C376"/>
      <c r="D376"/>
      <c r="E376"/>
    </row>
    <row r="377" spans="1:5" ht="12.75" customHeight="1" x14ac:dyDescent="0.35">
      <c r="A377"/>
      <c r="B377"/>
      <c r="C377"/>
      <c r="D377"/>
      <c r="E377"/>
    </row>
    <row r="378" spans="1:5" ht="12.75" customHeight="1" x14ac:dyDescent="0.35">
      <c r="A378"/>
      <c r="B378"/>
      <c r="C378"/>
      <c r="D378"/>
      <c r="E378"/>
    </row>
    <row r="379" spans="1:5" ht="12.75" customHeight="1" x14ac:dyDescent="0.35">
      <c r="A379"/>
      <c r="B379"/>
      <c r="C379"/>
      <c r="D379"/>
      <c r="E379"/>
    </row>
    <row r="380" spans="1:5" ht="12.75" customHeight="1" x14ac:dyDescent="0.35">
      <c r="A380"/>
      <c r="B380"/>
      <c r="C380"/>
      <c r="D380"/>
      <c r="E380"/>
    </row>
    <row r="381" spans="1:5" ht="12.75" customHeight="1" x14ac:dyDescent="0.35">
      <c r="A381"/>
      <c r="B381"/>
      <c r="C381"/>
      <c r="D381"/>
      <c r="E381"/>
    </row>
    <row r="382" spans="1:5" ht="12.75" customHeight="1" x14ac:dyDescent="0.35">
      <c r="A382"/>
      <c r="B382"/>
      <c r="C382"/>
      <c r="D382"/>
      <c r="E382"/>
    </row>
    <row r="383" spans="1:5" ht="12.75" customHeight="1" x14ac:dyDescent="0.35">
      <c r="A383"/>
      <c r="B383"/>
      <c r="C383"/>
      <c r="D383"/>
      <c r="E383"/>
    </row>
    <row r="384" spans="1:5" ht="12.75" customHeight="1" x14ac:dyDescent="0.35">
      <c r="A384"/>
      <c r="B384"/>
      <c r="C384"/>
      <c r="D384"/>
      <c r="E384"/>
    </row>
    <row r="385" spans="1:5" ht="12.75" customHeight="1" x14ac:dyDescent="0.35">
      <c r="A385"/>
      <c r="B385"/>
      <c r="C385" t="s">
        <v>5764</v>
      </c>
      <c r="D385"/>
      <c r="E385"/>
    </row>
    <row r="386" spans="1:5" ht="12.75" customHeight="1" x14ac:dyDescent="0.35">
      <c r="A386"/>
      <c r="B386"/>
      <c r="C386"/>
      <c r="D386"/>
      <c r="E386"/>
    </row>
    <row r="387" spans="1:5" ht="12.75" customHeight="1" x14ac:dyDescent="0.35">
      <c r="A387"/>
      <c r="B387"/>
      <c r="C387"/>
      <c r="D387"/>
      <c r="E387"/>
    </row>
    <row r="388" spans="1:5" ht="12.75" customHeight="1" x14ac:dyDescent="0.35">
      <c r="A388"/>
      <c r="B388"/>
      <c r="C388"/>
      <c r="D388"/>
      <c r="E388"/>
    </row>
    <row r="389" spans="1:5" ht="12.75" customHeight="1" x14ac:dyDescent="0.35">
      <c r="A389"/>
      <c r="B389"/>
      <c r="C389"/>
      <c r="D389"/>
      <c r="E389"/>
    </row>
    <row r="390" spans="1:5" ht="12.75" customHeight="1" x14ac:dyDescent="0.35">
      <c r="A390"/>
      <c r="B390"/>
      <c r="C390"/>
      <c r="D390"/>
      <c r="E390"/>
    </row>
    <row r="391" spans="1:5" ht="12.75" customHeight="1" x14ac:dyDescent="0.35">
      <c r="A391"/>
      <c r="B391"/>
      <c r="C391"/>
      <c r="D391"/>
      <c r="E391"/>
    </row>
    <row r="392" spans="1:5" ht="12.75" customHeight="1" x14ac:dyDescent="0.35">
      <c r="A392"/>
      <c r="B392"/>
      <c r="C392"/>
      <c r="D392"/>
      <c r="E392"/>
    </row>
    <row r="393" spans="1:5" ht="12.75" customHeight="1" x14ac:dyDescent="0.35">
      <c r="A393"/>
      <c r="B393"/>
      <c r="C393"/>
      <c r="D393"/>
      <c r="E393"/>
    </row>
    <row r="394" spans="1:5" ht="12.75" customHeight="1" x14ac:dyDescent="0.35">
      <c r="A394"/>
      <c r="B394"/>
      <c r="C394"/>
      <c r="D394"/>
      <c r="E394"/>
    </row>
    <row r="395" spans="1:5" ht="12.75" customHeight="1" x14ac:dyDescent="0.35">
      <c r="A395"/>
      <c r="B395"/>
      <c r="C395"/>
      <c r="D395"/>
      <c r="E395"/>
    </row>
    <row r="396" spans="1:5" ht="12.75" customHeight="1" x14ac:dyDescent="0.35">
      <c r="A396"/>
      <c r="B396"/>
      <c r="C396"/>
      <c r="D396"/>
      <c r="E396"/>
    </row>
    <row r="397" spans="1:5" ht="12.75" customHeight="1" x14ac:dyDescent="0.35">
      <c r="A397"/>
      <c r="B397"/>
      <c r="C397"/>
      <c r="D397"/>
      <c r="E397"/>
    </row>
    <row r="398" spans="1:5" ht="12.75" customHeight="1" x14ac:dyDescent="0.35">
      <c r="A398"/>
      <c r="B398"/>
      <c r="C398"/>
      <c r="D398"/>
      <c r="E398"/>
    </row>
    <row r="399" spans="1:5" ht="12.75" customHeight="1" x14ac:dyDescent="0.35">
      <c r="A399"/>
      <c r="B399"/>
      <c r="C399"/>
      <c r="D399"/>
      <c r="E399"/>
    </row>
    <row r="400" spans="1:5" ht="12.75" customHeight="1" x14ac:dyDescent="0.35">
      <c r="A400"/>
      <c r="B400"/>
      <c r="C400"/>
      <c r="D400"/>
      <c r="E400"/>
    </row>
    <row r="401" spans="1:5" ht="12.75" customHeight="1" x14ac:dyDescent="0.35">
      <c r="A401"/>
      <c r="B401"/>
      <c r="C401"/>
      <c r="D401"/>
      <c r="E401"/>
    </row>
    <row r="402" spans="1:5" ht="12.75" customHeight="1" x14ac:dyDescent="0.35">
      <c r="A402"/>
      <c r="B402"/>
      <c r="C402"/>
      <c r="D402"/>
      <c r="E402"/>
    </row>
    <row r="403" spans="1:5" ht="12.75" customHeight="1" x14ac:dyDescent="0.35">
      <c r="A403"/>
      <c r="B403"/>
      <c r="C403"/>
      <c r="D403"/>
      <c r="E403"/>
    </row>
    <row r="404" spans="1:5" ht="12.75" customHeight="1" x14ac:dyDescent="0.35">
      <c r="A404"/>
      <c r="B404"/>
      <c r="C404"/>
      <c r="D404"/>
      <c r="E404"/>
    </row>
    <row r="405" spans="1:5" ht="12.75" customHeight="1" x14ac:dyDescent="0.35">
      <c r="A405"/>
      <c r="B405"/>
      <c r="C405"/>
      <c r="D405"/>
      <c r="E405"/>
    </row>
    <row r="406" spans="1:5" ht="12.75" customHeight="1" x14ac:dyDescent="0.35">
      <c r="A406"/>
      <c r="B406"/>
      <c r="C406"/>
      <c r="D406"/>
      <c r="E406"/>
    </row>
    <row r="407" spans="1:5" ht="12.75" customHeight="1" x14ac:dyDescent="0.35">
      <c r="A407"/>
      <c r="B407"/>
      <c r="C407"/>
      <c r="D407"/>
      <c r="E407"/>
    </row>
    <row r="408" spans="1:5" ht="12.75" customHeight="1" x14ac:dyDescent="0.35">
      <c r="A408"/>
      <c r="B408"/>
      <c r="C408"/>
      <c r="D408"/>
      <c r="E408"/>
    </row>
    <row r="409" spans="1:5" ht="12.75" customHeight="1" x14ac:dyDescent="0.35">
      <c r="A409"/>
      <c r="B409"/>
      <c r="C409"/>
      <c r="D409"/>
      <c r="E409"/>
    </row>
    <row r="410" spans="1:5" ht="12.75" customHeight="1" x14ac:dyDescent="0.35">
      <c r="A410"/>
      <c r="B410"/>
      <c r="C410"/>
      <c r="D410"/>
      <c r="E410"/>
    </row>
    <row r="411" spans="1:5" ht="12.75" customHeight="1" x14ac:dyDescent="0.35">
      <c r="A411"/>
      <c r="B411"/>
      <c r="C411"/>
      <c r="D411"/>
      <c r="E411"/>
    </row>
    <row r="412" spans="1:5" ht="12.75" customHeight="1" x14ac:dyDescent="0.35">
      <c r="A412"/>
      <c r="B412"/>
      <c r="C412"/>
      <c r="D412"/>
      <c r="E412"/>
    </row>
    <row r="413" spans="1:5" ht="12.75" customHeight="1" x14ac:dyDescent="0.35">
      <c r="A413"/>
      <c r="B413"/>
      <c r="C413"/>
      <c r="D413"/>
      <c r="E413"/>
    </row>
    <row r="414" spans="1:5" ht="12.75" customHeight="1" x14ac:dyDescent="0.35">
      <c r="A414"/>
      <c r="B414"/>
      <c r="C414"/>
      <c r="D414"/>
      <c r="E414"/>
    </row>
    <row r="415" spans="1:5" ht="12.75" customHeight="1" x14ac:dyDescent="0.35">
      <c r="A415"/>
      <c r="B415"/>
      <c r="C415"/>
      <c r="D415"/>
      <c r="E415"/>
    </row>
    <row r="416" spans="1:5" ht="12.75" customHeight="1" x14ac:dyDescent="0.35">
      <c r="A416"/>
      <c r="B416"/>
      <c r="C416"/>
      <c r="D416"/>
      <c r="E416"/>
    </row>
    <row r="417" spans="1:5" ht="12.75" customHeight="1" x14ac:dyDescent="0.35">
      <c r="A417"/>
      <c r="B417"/>
      <c r="C417"/>
      <c r="D417"/>
      <c r="E417"/>
    </row>
    <row r="418" spans="1:5" ht="12.75" customHeight="1" x14ac:dyDescent="0.35">
      <c r="A418"/>
      <c r="B418"/>
      <c r="C418"/>
      <c r="D418"/>
      <c r="E418"/>
    </row>
    <row r="419" spans="1:5" ht="12.75" customHeight="1" x14ac:dyDescent="0.35">
      <c r="A419"/>
      <c r="B419"/>
      <c r="C419"/>
      <c r="D419"/>
      <c r="E419"/>
    </row>
    <row r="420" spans="1:5" ht="12.75" customHeight="1" x14ac:dyDescent="0.35">
      <c r="A420"/>
      <c r="B420"/>
      <c r="C420"/>
      <c r="D420"/>
      <c r="E420"/>
    </row>
    <row r="421" spans="1:5" ht="12.75" customHeight="1" x14ac:dyDescent="0.35">
      <c r="A421"/>
      <c r="B421"/>
      <c r="C421"/>
      <c r="D421"/>
      <c r="E421"/>
    </row>
    <row r="422" spans="1:5" ht="12.75" customHeight="1" x14ac:dyDescent="0.35">
      <c r="A422"/>
      <c r="B422"/>
      <c r="C422" t="s">
        <v>5765</v>
      </c>
      <c r="D422"/>
      <c r="E422"/>
    </row>
    <row r="423" spans="1:5" ht="12.75" customHeight="1" x14ac:dyDescent="0.35">
      <c r="A423"/>
      <c r="B423" t="s">
        <v>5766</v>
      </c>
      <c r="C423"/>
      <c r="D423"/>
      <c r="E423"/>
    </row>
    <row r="424" spans="1:5" ht="12.75" customHeight="1" x14ac:dyDescent="0.35">
      <c r="A424"/>
      <c r="B424" t="s">
        <v>5767</v>
      </c>
      <c r="C424"/>
      <c r="D424"/>
      <c r="E424"/>
    </row>
    <row r="425" spans="1:5" ht="12.75" customHeight="1" x14ac:dyDescent="0.35">
      <c r="A425"/>
      <c r="B425" t="s">
        <v>2539</v>
      </c>
      <c r="C425"/>
      <c r="D425"/>
      <c r="E425"/>
    </row>
    <row r="426" spans="1:5" ht="12.75" customHeight="1" x14ac:dyDescent="0.35">
      <c r="A426"/>
      <c r="B426" t="s">
        <v>5768</v>
      </c>
      <c r="C426"/>
      <c r="D426"/>
      <c r="E426"/>
    </row>
    <row r="427" spans="1:5" ht="12.75" customHeight="1" x14ac:dyDescent="0.35">
      <c r="A427"/>
      <c r="B427" t="s">
        <v>5769</v>
      </c>
      <c r="C427"/>
      <c r="D427"/>
      <c r="E427"/>
    </row>
    <row r="428" spans="1:5" ht="12.75" customHeight="1" x14ac:dyDescent="0.35">
      <c r="A428"/>
      <c r="B428" t="s">
        <v>5770</v>
      </c>
      <c r="C428"/>
      <c r="D428"/>
      <c r="E428"/>
    </row>
    <row r="429" spans="1:5" ht="12.75" customHeight="1" x14ac:dyDescent="0.35">
      <c r="A429"/>
      <c r="B429" t="s">
        <v>5771</v>
      </c>
      <c r="C429"/>
      <c r="D429"/>
      <c r="E429"/>
    </row>
    <row r="430" spans="1:5" ht="12.75" customHeight="1" x14ac:dyDescent="0.35">
      <c r="A430"/>
      <c r="B430" t="s">
        <v>5772</v>
      </c>
      <c r="C430"/>
      <c r="D430"/>
      <c r="E430"/>
    </row>
    <row r="431" spans="1:5" ht="12.75" customHeight="1" x14ac:dyDescent="0.35">
      <c r="A431"/>
      <c r="B431" t="s">
        <v>5773</v>
      </c>
      <c r="C431"/>
      <c r="D431"/>
      <c r="E431"/>
    </row>
    <row r="432" spans="1:5" ht="12.75" customHeight="1" x14ac:dyDescent="0.35">
      <c r="A432"/>
      <c r="B432" t="s">
        <v>5774</v>
      </c>
      <c r="C432"/>
      <c r="D432"/>
      <c r="E432"/>
    </row>
    <row r="433" spans="1:5" ht="12.75" customHeight="1" x14ac:dyDescent="0.35">
      <c r="A433"/>
      <c r="B433"/>
      <c r="C433"/>
      <c r="D433"/>
      <c r="E433"/>
    </row>
    <row r="434" spans="1:5" ht="12.75" customHeight="1" x14ac:dyDescent="0.35">
      <c r="A434"/>
      <c r="B434"/>
      <c r="C434"/>
      <c r="D434"/>
      <c r="E434"/>
    </row>
    <row r="435" spans="1:5" ht="12.75" customHeight="1" x14ac:dyDescent="0.35">
      <c r="A435"/>
      <c r="B435"/>
      <c r="C435"/>
      <c r="D435"/>
      <c r="E435"/>
    </row>
    <row r="436" spans="1:5" ht="12.75" customHeight="1" x14ac:dyDescent="0.35">
      <c r="A436"/>
      <c r="B436"/>
      <c r="C436"/>
      <c r="D436"/>
      <c r="E436"/>
    </row>
    <row r="437" spans="1:5" ht="12.75" customHeight="1" x14ac:dyDescent="0.35">
      <c r="A437"/>
      <c r="B437"/>
      <c r="C437"/>
      <c r="D437"/>
      <c r="E437"/>
    </row>
    <row r="438" spans="1:5" ht="12.75" customHeight="1" x14ac:dyDescent="0.35">
      <c r="A438"/>
      <c r="B438"/>
      <c r="C438"/>
      <c r="D438"/>
      <c r="E438"/>
    </row>
    <row r="439" spans="1:5" ht="12.75" customHeight="1" x14ac:dyDescent="0.35">
      <c r="A439"/>
      <c r="B439" t="s">
        <v>5775</v>
      </c>
      <c r="C439"/>
      <c r="D439"/>
      <c r="E439"/>
    </row>
    <row r="440" spans="1:5" ht="12.75" customHeight="1" x14ac:dyDescent="0.35">
      <c r="A440"/>
      <c r="B440"/>
      <c r="C440"/>
      <c r="D440"/>
      <c r="E440"/>
    </row>
    <row r="441" spans="1:5" ht="12.75" customHeight="1" x14ac:dyDescent="0.35">
      <c r="A441"/>
      <c r="B441" t="s">
        <v>5736</v>
      </c>
      <c r="C441"/>
      <c r="D441"/>
      <c r="E441"/>
    </row>
    <row r="442" spans="1:5" ht="12.75" customHeight="1" x14ac:dyDescent="0.35">
      <c r="A442"/>
      <c r="B442" t="s">
        <v>5776</v>
      </c>
      <c r="C442"/>
      <c r="D442"/>
      <c r="E442"/>
    </row>
    <row r="443" spans="1:5" ht="12.75" customHeight="1" x14ac:dyDescent="0.35">
      <c r="A443"/>
      <c r="B443"/>
      <c r="C443" s="1390" t="s">
        <v>6376</v>
      </c>
      <c r="D443"/>
      <c r="E443"/>
    </row>
    <row r="444" spans="1:5" ht="12.75" customHeight="1" x14ac:dyDescent="0.35">
      <c r="A444"/>
      <c r="B444"/>
      <c r="C444" s="1390" t="s">
        <v>6377</v>
      </c>
      <c r="D444"/>
      <c r="E444"/>
    </row>
    <row r="445" spans="1:5" ht="12.75" customHeight="1" x14ac:dyDescent="0.35">
      <c r="A445"/>
      <c r="B445"/>
      <c r="C445" s="1390" t="s">
        <v>6378</v>
      </c>
      <c r="D445"/>
      <c r="E445"/>
    </row>
    <row r="446" spans="1:5" ht="12.75" customHeight="1" x14ac:dyDescent="0.35">
      <c r="A446"/>
      <c r="B446"/>
      <c r="C446" s="1390" t="s">
        <v>6379</v>
      </c>
      <c r="D446"/>
      <c r="E446"/>
    </row>
    <row r="447" spans="1:5" ht="12.75" customHeight="1" x14ac:dyDescent="0.35">
      <c r="A447"/>
      <c r="B447"/>
      <c r="C447"/>
      <c r="D447"/>
      <c r="E447"/>
    </row>
    <row r="448" spans="1:5" ht="12.75" customHeight="1" x14ac:dyDescent="0.35">
      <c r="A448"/>
      <c r="B448"/>
      <c r="C448"/>
      <c r="D448"/>
      <c r="E448"/>
    </row>
    <row r="449" spans="1:5" ht="12.75" customHeight="1" x14ac:dyDescent="0.35">
      <c r="A449"/>
      <c r="B449"/>
      <c r="C449"/>
      <c r="D449"/>
      <c r="E449"/>
    </row>
    <row r="450" spans="1:5" ht="12.75" customHeight="1" x14ac:dyDescent="0.35">
      <c r="A450"/>
      <c r="B450"/>
      <c r="C450"/>
      <c r="D450"/>
      <c r="E450"/>
    </row>
    <row r="451" spans="1:5" ht="12.75" customHeight="1" x14ac:dyDescent="0.35">
      <c r="A451"/>
      <c r="B451"/>
      <c r="C451"/>
      <c r="D451"/>
      <c r="E451"/>
    </row>
    <row r="452" spans="1:5" ht="12.75" customHeight="1" x14ac:dyDescent="0.35">
      <c r="A452"/>
      <c r="B452"/>
      <c r="C452"/>
      <c r="D452"/>
      <c r="E452"/>
    </row>
    <row r="453" spans="1:5" ht="12.75" customHeight="1" x14ac:dyDescent="0.35">
      <c r="A453"/>
      <c r="B453"/>
      <c r="C453"/>
      <c r="D453"/>
      <c r="E453"/>
    </row>
    <row r="454" spans="1:5" ht="12.75" customHeight="1" x14ac:dyDescent="0.35">
      <c r="A454"/>
      <c r="B454"/>
      <c r="C454"/>
      <c r="D454"/>
      <c r="E454"/>
    </row>
    <row r="455" spans="1:5" ht="12.75" customHeight="1" x14ac:dyDescent="0.35">
      <c r="A455"/>
      <c r="B455"/>
      <c r="C455"/>
      <c r="D455"/>
      <c r="E455"/>
    </row>
    <row r="456" spans="1:5" ht="12.75" customHeight="1" x14ac:dyDescent="0.35">
      <c r="A456"/>
      <c r="B456" t="s">
        <v>5777</v>
      </c>
      <c r="C456"/>
      <c r="D456"/>
      <c r="E456"/>
    </row>
    <row r="457" spans="1:5" ht="12.75" customHeight="1" x14ac:dyDescent="0.35">
      <c r="A457"/>
      <c r="B457" t="s">
        <v>5778</v>
      </c>
      <c r="C457"/>
      <c r="D457"/>
      <c r="E457"/>
    </row>
    <row r="458" spans="1:5" ht="12.75" customHeight="1" x14ac:dyDescent="0.35">
      <c r="A458"/>
      <c r="B458" s="159" t="s">
        <v>6137</v>
      </c>
      <c r="C458"/>
      <c r="D458"/>
      <c r="E458"/>
    </row>
    <row r="459" spans="1:5" ht="12.75" customHeight="1" x14ac:dyDescent="0.35">
      <c r="A459"/>
      <c r="B459" t="s">
        <v>5779</v>
      </c>
      <c r="C459"/>
      <c r="D459"/>
      <c r="E459"/>
    </row>
    <row r="460" spans="1:5" ht="12.75" customHeight="1" x14ac:dyDescent="0.35">
      <c r="A460"/>
      <c r="B460"/>
      <c r="C460" t="s">
        <v>5780</v>
      </c>
      <c r="D460"/>
      <c r="E460"/>
    </row>
    <row r="461" spans="1:5" ht="12.75" customHeight="1" x14ac:dyDescent="0.35">
      <c r="A461"/>
      <c r="B461"/>
      <c r="C461" s="1390" t="s">
        <v>5783</v>
      </c>
      <c r="D461"/>
      <c r="E461"/>
    </row>
    <row r="462" spans="1:5" ht="12.75" customHeight="1" x14ac:dyDescent="0.35">
      <c r="A462"/>
      <c r="B462"/>
      <c r="C462" s="1390" t="s">
        <v>6380</v>
      </c>
      <c r="D462"/>
      <c r="E462"/>
    </row>
    <row r="463" spans="1:5" ht="12.75" customHeight="1" x14ac:dyDescent="0.35">
      <c r="A463"/>
      <c r="B463"/>
      <c r="C463" t="s">
        <v>5781</v>
      </c>
      <c r="D463"/>
      <c r="E463"/>
    </row>
    <row r="464" spans="1:5" ht="12.75" customHeight="1" x14ac:dyDescent="0.35">
      <c r="A464"/>
      <c r="B464"/>
      <c r="C464" t="s">
        <v>5782</v>
      </c>
      <c r="D464"/>
      <c r="E464"/>
    </row>
    <row r="465" spans="1:5" ht="12.75" customHeight="1" x14ac:dyDescent="0.35">
      <c r="A465"/>
      <c r="B465"/>
      <c r="C465" t="s">
        <v>5783</v>
      </c>
      <c r="D465"/>
      <c r="E465"/>
    </row>
    <row r="466" spans="1:5" ht="12.75" customHeight="1" x14ac:dyDescent="0.35">
      <c r="A466"/>
      <c r="B466"/>
      <c r="C466"/>
      <c r="D466"/>
      <c r="E466"/>
    </row>
    <row r="467" spans="1:5" ht="12.75" customHeight="1" x14ac:dyDescent="0.35">
      <c r="A467"/>
      <c r="B467"/>
      <c r="C467"/>
      <c r="D467"/>
      <c r="E467"/>
    </row>
    <row r="468" spans="1:5" ht="12.75" customHeight="1" x14ac:dyDescent="0.35">
      <c r="A468"/>
      <c r="B468"/>
      <c r="C468"/>
      <c r="D468"/>
      <c r="E468"/>
    </row>
    <row r="469" spans="1:5" ht="12.75" customHeight="1" x14ac:dyDescent="0.35">
      <c r="A469"/>
      <c r="B469"/>
      <c r="C469"/>
      <c r="D469"/>
      <c r="E469"/>
    </row>
    <row r="470" spans="1:5" ht="12.75" customHeight="1" x14ac:dyDescent="0.35">
      <c r="A470"/>
      <c r="B470"/>
      <c r="C470"/>
      <c r="D470"/>
      <c r="E470"/>
    </row>
    <row r="471" spans="1:5" ht="12.75" customHeight="1" x14ac:dyDescent="0.35">
      <c r="A471"/>
      <c r="B471"/>
      <c r="C471"/>
      <c r="D471"/>
      <c r="E471"/>
    </row>
    <row r="472" spans="1:5" ht="12.75" customHeight="1" x14ac:dyDescent="0.35">
      <c r="A472"/>
      <c r="B472" t="s">
        <v>5784</v>
      </c>
      <c r="C472"/>
      <c r="D472"/>
      <c r="E472"/>
    </row>
    <row r="473" spans="1:5" ht="12.75" customHeight="1" x14ac:dyDescent="0.35">
      <c r="A473"/>
      <c r="B473" t="s">
        <v>5785</v>
      </c>
      <c r="C473"/>
      <c r="D473"/>
      <c r="E473"/>
    </row>
    <row r="474" spans="1:5" ht="12.75" customHeight="1" x14ac:dyDescent="0.35">
      <c r="A474"/>
      <c r="B474" t="s">
        <v>5786</v>
      </c>
      <c r="C474"/>
      <c r="D474"/>
      <c r="E474"/>
    </row>
    <row r="475" spans="1:5" ht="12.75" customHeight="1" x14ac:dyDescent="0.35">
      <c r="A475"/>
      <c r="B475" t="s">
        <v>5787</v>
      </c>
      <c r="C475"/>
      <c r="D475"/>
      <c r="E475"/>
    </row>
    <row r="476" spans="1:5" ht="12.75" customHeight="1" x14ac:dyDescent="0.35">
      <c r="A476"/>
      <c r="B476"/>
      <c r="C476" t="s">
        <v>5788</v>
      </c>
      <c r="D476"/>
      <c r="E476"/>
    </row>
    <row r="477" spans="1:5" ht="12.75" customHeight="1" x14ac:dyDescent="0.35">
      <c r="A477"/>
      <c r="B477"/>
      <c r="C477" t="s">
        <v>5789</v>
      </c>
      <c r="D477"/>
      <c r="E477"/>
    </row>
    <row r="478" spans="1:5" ht="12.75" customHeight="1" x14ac:dyDescent="0.35">
      <c r="A478"/>
      <c r="B478"/>
      <c r="C478" t="s">
        <v>5790</v>
      </c>
      <c r="D478"/>
      <c r="E478"/>
    </row>
    <row r="479" spans="1:5" ht="12.75" customHeight="1" x14ac:dyDescent="0.35">
      <c r="A479"/>
      <c r="B479"/>
      <c r="C479"/>
      <c r="D479"/>
      <c r="E479"/>
    </row>
    <row r="480" spans="1:5" ht="12.75" customHeight="1" x14ac:dyDescent="0.35">
      <c r="A480"/>
      <c r="B480"/>
      <c r="C480"/>
      <c r="D480"/>
      <c r="E480"/>
    </row>
    <row r="481" spans="1:5" ht="12.75" customHeight="1" x14ac:dyDescent="0.35">
      <c r="A481"/>
      <c r="B481"/>
      <c r="C481"/>
      <c r="D481"/>
      <c r="E481"/>
    </row>
    <row r="482" spans="1:5" ht="12.75" customHeight="1" x14ac:dyDescent="0.35">
      <c r="A482"/>
      <c r="B482"/>
      <c r="C482"/>
      <c r="D482"/>
      <c r="E482"/>
    </row>
    <row r="483" spans="1:5" ht="12.75" customHeight="1" x14ac:dyDescent="0.35">
      <c r="A483"/>
      <c r="B483"/>
      <c r="C483"/>
      <c r="D483"/>
      <c r="E483"/>
    </row>
    <row r="484" spans="1:5" ht="12.75" customHeight="1" x14ac:dyDescent="0.35">
      <c r="A484"/>
      <c r="B484"/>
      <c r="C484"/>
      <c r="D484"/>
      <c r="E484"/>
    </row>
    <row r="485" spans="1:5" ht="12.75" customHeight="1" x14ac:dyDescent="0.35">
      <c r="A485"/>
      <c r="B485"/>
      <c r="C485"/>
      <c r="D485"/>
      <c r="E485"/>
    </row>
    <row r="486" spans="1:5" ht="12.75" customHeight="1" x14ac:dyDescent="0.35">
      <c r="A486"/>
      <c r="B486" t="s">
        <v>5791</v>
      </c>
      <c r="C486"/>
      <c r="D486"/>
      <c r="E486"/>
    </row>
    <row r="487" spans="1:5" ht="12.75" customHeight="1" x14ac:dyDescent="0.35">
      <c r="A487"/>
      <c r="B487" s="220" t="s">
        <v>6138</v>
      </c>
      <c r="C487"/>
      <c r="D487"/>
      <c r="E487"/>
    </row>
    <row r="488" spans="1:5" ht="12.75" customHeight="1" x14ac:dyDescent="0.35">
      <c r="A488"/>
      <c r="B488" t="s">
        <v>5792</v>
      </c>
      <c r="C488"/>
      <c r="D488"/>
      <c r="E488"/>
    </row>
    <row r="489" spans="1:5" ht="12.75" customHeight="1" x14ac:dyDescent="0.35">
      <c r="A489"/>
      <c r="B489" t="s">
        <v>5785</v>
      </c>
      <c r="C489"/>
      <c r="D489"/>
      <c r="E489"/>
    </row>
    <row r="490" spans="1:5" ht="12.75" customHeight="1" x14ac:dyDescent="0.35">
      <c r="A490"/>
      <c r="B490" t="s">
        <v>5339</v>
      </c>
      <c r="C490"/>
      <c r="D490"/>
      <c r="E490"/>
    </row>
    <row r="491" spans="1:5" ht="12.75" customHeight="1" x14ac:dyDescent="0.35">
      <c r="A491"/>
      <c r="B491" t="s">
        <v>2539</v>
      </c>
      <c r="C491"/>
      <c r="D491"/>
      <c r="E491"/>
    </row>
    <row r="492" spans="1:5" ht="12.75" customHeight="1" x14ac:dyDescent="0.35">
      <c r="A492"/>
      <c r="B492"/>
      <c r="C492" t="s">
        <v>5793</v>
      </c>
      <c r="D492"/>
      <c r="E492"/>
    </row>
    <row r="493" spans="1:5" ht="12.75" customHeight="1" x14ac:dyDescent="0.35">
      <c r="A493"/>
      <c r="B493"/>
      <c r="C493" t="s">
        <v>5794</v>
      </c>
      <c r="D493"/>
      <c r="E493"/>
    </row>
    <row r="494" spans="1:5" ht="12.75" customHeight="1" x14ac:dyDescent="0.35">
      <c r="A494"/>
      <c r="B494" t="s">
        <v>5795</v>
      </c>
      <c r="C494"/>
      <c r="D494"/>
      <c r="E494"/>
    </row>
    <row r="495" spans="1:5" ht="12.75" customHeight="1" x14ac:dyDescent="0.35">
      <c r="A495"/>
      <c r="B495" t="s">
        <v>5785</v>
      </c>
      <c r="C495"/>
      <c r="D495"/>
      <c r="E495"/>
    </row>
    <row r="496" spans="1:5" ht="12.75" customHeight="1" x14ac:dyDescent="0.35">
      <c r="A496"/>
      <c r="B496" t="s">
        <v>5338</v>
      </c>
      <c r="C496"/>
      <c r="D496"/>
      <c r="E496"/>
    </row>
    <row r="497" spans="1:5" ht="12.75" customHeight="1" x14ac:dyDescent="0.35">
      <c r="A497"/>
      <c r="B497" t="s">
        <v>5796</v>
      </c>
      <c r="C497"/>
      <c r="D497"/>
      <c r="E497"/>
    </row>
    <row r="498" spans="1:5" ht="12.75" customHeight="1" x14ac:dyDescent="0.35">
      <c r="A498"/>
      <c r="B498"/>
      <c r="C498" t="s">
        <v>5796</v>
      </c>
      <c r="D498"/>
      <c r="E498"/>
    </row>
    <row r="499" spans="1:5" ht="12.75" customHeight="1" x14ac:dyDescent="0.35">
      <c r="A499"/>
      <c r="B499"/>
      <c r="C499" t="s">
        <v>5797</v>
      </c>
      <c r="D499"/>
      <c r="E499"/>
    </row>
    <row r="500" spans="1:5" ht="12.75" customHeight="1" x14ac:dyDescent="0.35">
      <c r="A500"/>
      <c r="B500" t="s">
        <v>5798</v>
      </c>
      <c r="C500"/>
      <c r="D500"/>
      <c r="E500"/>
    </row>
    <row r="501" spans="1:5" ht="12.75" customHeight="1" x14ac:dyDescent="0.35">
      <c r="A501"/>
      <c r="B501" t="s">
        <v>5799</v>
      </c>
      <c r="C501"/>
      <c r="D501"/>
      <c r="E501"/>
    </row>
    <row r="502" spans="1:5" ht="12.75" customHeight="1" x14ac:dyDescent="0.35">
      <c r="A502"/>
      <c r="B502"/>
      <c r="C502" t="s">
        <v>5800</v>
      </c>
      <c r="D502"/>
      <c r="E502"/>
    </row>
    <row r="503" spans="1:5" ht="12.75" customHeight="1" x14ac:dyDescent="0.35">
      <c r="A503"/>
      <c r="B503"/>
      <c r="C503" t="s">
        <v>5801</v>
      </c>
      <c r="D503"/>
      <c r="E503"/>
    </row>
    <row r="504" spans="1:5" ht="12.75" customHeight="1" x14ac:dyDescent="0.35">
      <c r="A504"/>
      <c r="B504" t="s">
        <v>5802</v>
      </c>
      <c r="C504"/>
      <c r="D504"/>
      <c r="E504"/>
    </row>
    <row r="505" spans="1:5" ht="12.75" customHeight="1" x14ac:dyDescent="0.35">
      <c r="A505"/>
      <c r="B505" t="s">
        <v>5803</v>
      </c>
      <c r="C505"/>
      <c r="D505"/>
      <c r="E505"/>
    </row>
    <row r="506" spans="1:5" ht="12.75" customHeight="1" x14ac:dyDescent="0.35">
      <c r="A506"/>
      <c r="B506"/>
      <c r="C506" t="s">
        <v>5804</v>
      </c>
      <c r="D506"/>
      <c r="E506"/>
    </row>
    <row r="507" spans="1:5" ht="12.75" customHeight="1" x14ac:dyDescent="0.35">
      <c r="A507"/>
      <c r="B507"/>
      <c r="C507" s="159" t="s">
        <v>6131</v>
      </c>
      <c r="D507"/>
      <c r="E507"/>
    </row>
    <row r="508" spans="1:5" ht="12.75" customHeight="1" x14ac:dyDescent="0.35">
      <c r="A508"/>
      <c r="B508" t="s">
        <v>5805</v>
      </c>
      <c r="C508"/>
      <c r="D508"/>
      <c r="E508"/>
    </row>
    <row r="509" spans="1:5" ht="12.75" customHeight="1" x14ac:dyDescent="0.35">
      <c r="A509"/>
      <c r="B509" t="s">
        <v>5806</v>
      </c>
      <c r="C509"/>
      <c r="D509"/>
      <c r="E509"/>
    </row>
    <row r="510" spans="1:5" ht="12.75" customHeight="1" x14ac:dyDescent="0.35">
      <c r="A510"/>
      <c r="B510" t="s">
        <v>5807</v>
      </c>
      <c r="C510"/>
      <c r="D510"/>
      <c r="E510"/>
    </row>
    <row r="511" spans="1:5" ht="12.75" customHeight="1" x14ac:dyDescent="0.35">
      <c r="A511"/>
      <c r="B511" t="s">
        <v>5808</v>
      </c>
      <c r="C511"/>
      <c r="D511"/>
      <c r="E511"/>
    </row>
    <row r="512" spans="1:5" ht="12.75" customHeight="1" x14ac:dyDescent="0.35">
      <c r="A512"/>
      <c r="B512" t="s">
        <v>5809</v>
      </c>
      <c r="C512"/>
      <c r="D512"/>
      <c r="E512"/>
    </row>
    <row r="513" spans="1:5" ht="12.75" customHeight="1" x14ac:dyDescent="0.35">
      <c r="A513"/>
      <c r="B513" t="s">
        <v>5810</v>
      </c>
      <c r="C513"/>
      <c r="D513"/>
      <c r="E513"/>
    </row>
    <row r="514" spans="1:5" ht="12.75" customHeight="1" x14ac:dyDescent="0.35">
      <c r="A514"/>
      <c r="B514" t="s">
        <v>5811</v>
      </c>
      <c r="C514"/>
      <c r="D514"/>
      <c r="E514"/>
    </row>
    <row r="515" spans="1:5" ht="12.75" customHeight="1" x14ac:dyDescent="0.35">
      <c r="A515"/>
      <c r="B515" t="s">
        <v>5812</v>
      </c>
      <c r="C515"/>
      <c r="D515"/>
      <c r="E515"/>
    </row>
    <row r="516" spans="1:5" ht="12.75" customHeight="1" x14ac:dyDescent="0.35">
      <c r="A516"/>
      <c r="B516" t="s">
        <v>5813</v>
      </c>
      <c r="C516"/>
      <c r="D516"/>
      <c r="E516"/>
    </row>
    <row r="517" spans="1:5" ht="12.75" customHeight="1" x14ac:dyDescent="0.35">
      <c r="A517"/>
      <c r="B517" t="s">
        <v>5814</v>
      </c>
      <c r="C517"/>
      <c r="D517"/>
      <c r="E517"/>
    </row>
    <row r="518" spans="1:5" ht="12.75" customHeight="1" x14ac:dyDescent="0.35">
      <c r="A518"/>
      <c r="B518" t="s">
        <v>5815</v>
      </c>
      <c r="C518"/>
      <c r="D518"/>
      <c r="E518"/>
    </row>
    <row r="519" spans="1:5" ht="12.75" customHeight="1" x14ac:dyDescent="0.35">
      <c r="A519"/>
      <c r="B519" t="s">
        <v>5816</v>
      </c>
      <c r="C519"/>
      <c r="D519"/>
      <c r="E519"/>
    </row>
    <row r="520" spans="1:5" ht="12.75" customHeight="1" x14ac:dyDescent="0.35">
      <c r="A520"/>
      <c r="B520" t="s">
        <v>5817</v>
      </c>
      <c r="C520"/>
      <c r="D520"/>
      <c r="E520"/>
    </row>
    <row r="521" spans="1:5" ht="12.75" customHeight="1" x14ac:dyDescent="0.35">
      <c r="A521"/>
      <c r="B521"/>
      <c r="C521"/>
      <c r="D521"/>
      <c r="E521"/>
    </row>
    <row r="522" spans="1:5" ht="12.75" customHeight="1" x14ac:dyDescent="0.35">
      <c r="A522"/>
      <c r="B522"/>
      <c r="C522"/>
      <c r="D522"/>
      <c r="E522"/>
    </row>
    <row r="523" spans="1:5" ht="12.75" customHeight="1" x14ac:dyDescent="0.35">
      <c r="A523"/>
      <c r="B523" t="s">
        <v>5818</v>
      </c>
      <c r="C523"/>
      <c r="D523"/>
      <c r="E523"/>
    </row>
    <row r="524" spans="1:5" ht="12.75" customHeight="1" x14ac:dyDescent="0.35">
      <c r="A524"/>
      <c r="B524" t="s">
        <v>5819</v>
      </c>
      <c r="C524"/>
      <c r="D524"/>
      <c r="E524"/>
    </row>
    <row r="525" spans="1:5" ht="12.75" customHeight="1" x14ac:dyDescent="0.35">
      <c r="A525"/>
      <c r="B525" t="s">
        <v>2539</v>
      </c>
      <c r="C525"/>
      <c r="D525"/>
      <c r="E525"/>
    </row>
    <row r="526" spans="1:5" ht="12.75" customHeight="1" x14ac:dyDescent="0.35">
      <c r="A526"/>
      <c r="B526" t="s">
        <v>5820</v>
      </c>
      <c r="C526"/>
      <c r="D526"/>
      <c r="E526"/>
    </row>
    <row r="527" spans="1:5" ht="12.75" customHeight="1" x14ac:dyDescent="0.35">
      <c r="A527"/>
      <c r="B527" t="s">
        <v>5821</v>
      </c>
      <c r="C527"/>
      <c r="D527"/>
      <c r="E527"/>
    </row>
    <row r="528" spans="1:5" ht="12.75" customHeight="1" x14ac:dyDescent="0.35">
      <c r="A528"/>
      <c r="B528" t="s">
        <v>5822</v>
      </c>
      <c r="C528"/>
      <c r="D528"/>
      <c r="E528"/>
    </row>
    <row r="529" spans="1:5" ht="12.75" customHeight="1" x14ac:dyDescent="0.35">
      <c r="A529"/>
      <c r="B529" t="s">
        <v>5807</v>
      </c>
      <c r="C529"/>
      <c r="D529"/>
      <c r="E529"/>
    </row>
    <row r="530" spans="1:5" ht="12.75" customHeight="1" x14ac:dyDescent="0.35">
      <c r="A530"/>
      <c r="B530" t="s">
        <v>5823</v>
      </c>
      <c r="C530"/>
      <c r="D530"/>
      <c r="E530"/>
    </row>
    <row r="531" spans="1:5" ht="12.75" customHeight="1" x14ac:dyDescent="0.35">
      <c r="A531"/>
      <c r="B531" t="s">
        <v>5824</v>
      </c>
      <c r="C531"/>
      <c r="D531"/>
      <c r="E531"/>
    </row>
    <row r="532" spans="1:5" ht="12.75" customHeight="1" x14ac:dyDescent="0.35">
      <c r="A532"/>
      <c r="B532" t="s">
        <v>5825</v>
      </c>
      <c r="C532"/>
      <c r="D532"/>
      <c r="E532"/>
    </row>
    <row r="533" spans="1:5" ht="12.75" customHeight="1" x14ac:dyDescent="0.35">
      <c r="A533"/>
      <c r="B533" t="s">
        <v>5826</v>
      </c>
      <c r="C533"/>
      <c r="D533"/>
      <c r="E533"/>
    </row>
    <row r="534" spans="1:5" ht="12.75" customHeight="1" x14ac:dyDescent="0.35">
      <c r="A534"/>
      <c r="B534" t="s">
        <v>5827</v>
      </c>
      <c r="C534"/>
      <c r="D534"/>
      <c r="E534"/>
    </row>
    <row r="535" spans="1:5" ht="12.75" customHeight="1" x14ac:dyDescent="0.35">
      <c r="A535"/>
      <c r="B535" t="s">
        <v>5828</v>
      </c>
      <c r="C535"/>
      <c r="D535"/>
      <c r="E535"/>
    </row>
    <row r="536" spans="1:5" ht="12.75" customHeight="1" x14ac:dyDescent="0.35">
      <c r="A536"/>
      <c r="B536" t="s">
        <v>5829</v>
      </c>
      <c r="C536"/>
      <c r="D536"/>
      <c r="E536"/>
    </row>
    <row r="537" spans="1:5" ht="12.75" customHeight="1" x14ac:dyDescent="0.35">
      <c r="A537"/>
      <c r="B537"/>
      <c r="C537"/>
      <c r="D537"/>
      <c r="E537"/>
    </row>
    <row r="538" spans="1:5" ht="12.75" customHeight="1" x14ac:dyDescent="0.35">
      <c r="A538"/>
      <c r="B538"/>
      <c r="C538"/>
      <c r="D538"/>
      <c r="E538"/>
    </row>
    <row r="539" spans="1:5" ht="12.75" customHeight="1" x14ac:dyDescent="0.35">
      <c r="A539"/>
      <c r="B539"/>
      <c r="C539"/>
      <c r="D539"/>
      <c r="E539"/>
    </row>
    <row r="540" spans="1:5" ht="12.75" customHeight="1" x14ac:dyDescent="0.35">
      <c r="A540"/>
      <c r="B540"/>
      <c r="C540"/>
      <c r="D540"/>
      <c r="E540"/>
    </row>
    <row r="541" spans="1:5" ht="12.75" customHeight="1" x14ac:dyDescent="0.35">
      <c r="A541"/>
      <c r="B541"/>
      <c r="C541"/>
      <c r="D541"/>
      <c r="E541"/>
    </row>
    <row r="542" spans="1:5" ht="12.75" customHeight="1" x14ac:dyDescent="0.35">
      <c r="A542"/>
      <c r="B542" t="s">
        <v>5830</v>
      </c>
      <c r="C542"/>
      <c r="D542"/>
      <c r="E542"/>
    </row>
    <row r="543" spans="1:5" ht="12.75" customHeight="1" x14ac:dyDescent="0.35">
      <c r="A543"/>
      <c r="B543"/>
      <c r="C543"/>
      <c r="D543"/>
      <c r="E543"/>
    </row>
    <row r="544" spans="1:5" ht="12.75" customHeight="1" x14ac:dyDescent="0.35">
      <c r="A544"/>
      <c r="B544" t="s">
        <v>5831</v>
      </c>
      <c r="C544"/>
      <c r="D544"/>
      <c r="E544"/>
    </row>
    <row r="545" spans="1:5" ht="12.75" customHeight="1" x14ac:dyDescent="0.35">
      <c r="A545"/>
      <c r="B545" t="s">
        <v>5832</v>
      </c>
      <c r="C545"/>
      <c r="D545"/>
      <c r="E545"/>
    </row>
    <row r="546" spans="1:5" ht="12.75" customHeight="1" x14ac:dyDescent="0.35">
      <c r="A546"/>
      <c r="B546"/>
      <c r="C546" s="116" t="s">
        <v>6151</v>
      </c>
      <c r="D546"/>
      <c r="E546"/>
    </row>
    <row r="547" spans="1:5" ht="12.75" customHeight="1" x14ac:dyDescent="0.35">
      <c r="A547"/>
      <c r="B547"/>
      <c r="C547" t="s">
        <v>5834</v>
      </c>
      <c r="D547"/>
      <c r="E547"/>
    </row>
    <row r="548" spans="1:5" ht="12.75" customHeight="1" x14ac:dyDescent="0.35">
      <c r="A548"/>
      <c r="B548"/>
      <c r="C548" t="s">
        <v>5835</v>
      </c>
      <c r="D548"/>
      <c r="E548"/>
    </row>
    <row r="549" spans="1:5" ht="12.75" customHeight="1" x14ac:dyDescent="0.35">
      <c r="A549"/>
      <c r="B549"/>
      <c r="C549" t="s">
        <v>5836</v>
      </c>
      <c r="D549"/>
      <c r="E549"/>
    </row>
    <row r="550" spans="1:5" ht="12.75" customHeight="1" x14ac:dyDescent="0.35">
      <c r="A550"/>
      <c r="B550"/>
      <c r="C550" t="s">
        <v>5833</v>
      </c>
      <c r="D550"/>
      <c r="E550"/>
    </row>
    <row r="551" spans="1:5" ht="12.75" customHeight="1" x14ac:dyDescent="0.35">
      <c r="A551"/>
      <c r="B551"/>
      <c r="C551" t="s">
        <v>5837</v>
      </c>
      <c r="D551"/>
      <c r="E551"/>
    </row>
    <row r="552" spans="1:5" ht="12.75" customHeight="1" x14ac:dyDescent="0.35">
      <c r="A552"/>
      <c r="B552"/>
      <c r="C552" t="s">
        <v>5835</v>
      </c>
      <c r="D552"/>
      <c r="E552"/>
    </row>
    <row r="553" spans="1:5" ht="12.75" customHeight="1" x14ac:dyDescent="0.35">
      <c r="A553"/>
      <c r="B553"/>
      <c r="C553" t="s">
        <v>5838</v>
      </c>
      <c r="D553"/>
      <c r="E553"/>
    </row>
    <row r="554" spans="1:5" ht="12.75" customHeight="1" x14ac:dyDescent="0.35">
      <c r="A554"/>
      <c r="B554"/>
      <c r="C554" t="s">
        <v>5833</v>
      </c>
      <c r="D554"/>
      <c r="E554"/>
    </row>
    <row r="555" spans="1:5" ht="12.75" customHeight="1" x14ac:dyDescent="0.35">
      <c r="A555"/>
      <c r="B555"/>
      <c r="C555" t="s">
        <v>5839</v>
      </c>
      <c r="D555"/>
      <c r="E555"/>
    </row>
    <row r="556" spans="1:5" ht="12.75" customHeight="1" x14ac:dyDescent="0.35">
      <c r="A556"/>
      <c r="B556"/>
      <c r="C556" t="s">
        <v>5835</v>
      </c>
      <c r="D556"/>
      <c r="E556"/>
    </row>
    <row r="557" spans="1:5" ht="12.75" customHeight="1" x14ac:dyDescent="0.35">
      <c r="A557"/>
      <c r="B557"/>
      <c r="C557" t="s">
        <v>5836</v>
      </c>
      <c r="D557"/>
      <c r="E557"/>
    </row>
    <row r="558" spans="1:5" ht="12.75" customHeight="1" x14ac:dyDescent="0.35">
      <c r="A558"/>
      <c r="B558"/>
      <c r="C558" t="s">
        <v>5833</v>
      </c>
      <c r="D558"/>
      <c r="E558"/>
    </row>
    <row r="559" spans="1:5" ht="12.75" customHeight="1" x14ac:dyDescent="0.35">
      <c r="A559"/>
      <c r="B559"/>
      <c r="C559" t="s">
        <v>5834</v>
      </c>
      <c r="D559"/>
      <c r="E559"/>
    </row>
    <row r="560" spans="1:5" ht="12.75" customHeight="1" x14ac:dyDescent="0.35">
      <c r="A560"/>
      <c r="B560"/>
      <c r="C560" t="s">
        <v>5835</v>
      </c>
      <c r="D560"/>
      <c r="E560"/>
    </row>
    <row r="561" spans="1:5" ht="12.75" customHeight="1" x14ac:dyDescent="0.35">
      <c r="A561"/>
      <c r="B561"/>
      <c r="C561" t="s">
        <v>5838</v>
      </c>
      <c r="D561"/>
      <c r="E561"/>
    </row>
    <row r="562" spans="1:5" ht="12.75" customHeight="1" x14ac:dyDescent="0.35">
      <c r="A562"/>
      <c r="B562"/>
      <c r="C562" t="s">
        <v>5833</v>
      </c>
      <c r="D562"/>
      <c r="E562"/>
    </row>
    <row r="563" spans="1:5" ht="12.75" customHeight="1" x14ac:dyDescent="0.35">
      <c r="A563"/>
      <c r="B563"/>
      <c r="C563" t="s">
        <v>5834</v>
      </c>
      <c r="D563"/>
      <c r="E563"/>
    </row>
    <row r="564" spans="1:5" ht="12.75" customHeight="1" x14ac:dyDescent="0.35">
      <c r="A564"/>
      <c r="B564"/>
      <c r="C564" t="s">
        <v>5835</v>
      </c>
      <c r="D564"/>
      <c r="E564"/>
    </row>
    <row r="565" spans="1:5" ht="12.75" customHeight="1" x14ac:dyDescent="0.35">
      <c r="A565"/>
      <c r="B565"/>
      <c r="C565" t="s">
        <v>5836</v>
      </c>
      <c r="D565"/>
      <c r="E565"/>
    </row>
    <row r="566" spans="1:5" ht="12.75" customHeight="1" x14ac:dyDescent="0.35">
      <c r="A566"/>
      <c r="B566"/>
      <c r="C566" s="132" t="s">
        <v>6140</v>
      </c>
      <c r="D566"/>
      <c r="E566"/>
    </row>
    <row r="567" spans="1:5" ht="12.75" customHeight="1" x14ac:dyDescent="0.35">
      <c r="A567"/>
      <c r="B567"/>
      <c r="C567" s="1302" t="s">
        <v>6152</v>
      </c>
      <c r="D567"/>
      <c r="E567"/>
    </row>
    <row r="568" spans="1:5" ht="12.75" customHeight="1" x14ac:dyDescent="0.35">
      <c r="A568"/>
      <c r="B568"/>
      <c r="C568" t="s">
        <v>5840</v>
      </c>
      <c r="D568"/>
      <c r="E568"/>
    </row>
    <row r="569" spans="1:5" ht="12.75" customHeight="1" x14ac:dyDescent="0.35">
      <c r="A569"/>
      <c r="B569"/>
      <c r="C569" t="s">
        <v>5841</v>
      </c>
      <c r="D569"/>
      <c r="E569"/>
    </row>
    <row r="570" spans="1:5" ht="12.75" customHeight="1" x14ac:dyDescent="0.35">
      <c r="A570"/>
      <c r="B570"/>
      <c r="C570" s="132" t="s">
        <v>6139</v>
      </c>
      <c r="D570"/>
      <c r="E570"/>
    </row>
    <row r="571" spans="1:5" ht="12.75" customHeight="1" x14ac:dyDescent="0.35">
      <c r="A571"/>
      <c r="B571"/>
      <c r="C571" s="1302" t="s">
        <v>6153</v>
      </c>
      <c r="D571"/>
      <c r="E571"/>
    </row>
    <row r="572" spans="1:5" ht="12.75" customHeight="1" x14ac:dyDescent="0.35">
      <c r="A572"/>
      <c r="B572"/>
      <c r="C572" t="s">
        <v>5842</v>
      </c>
      <c r="D572"/>
      <c r="E572"/>
    </row>
    <row r="573" spans="1:5" ht="12.75" customHeight="1" x14ac:dyDescent="0.35">
      <c r="A573"/>
      <c r="B573"/>
      <c r="C573" s="116" t="s">
        <v>6154</v>
      </c>
      <c r="D573"/>
      <c r="E573"/>
    </row>
    <row r="574" spans="1:5" ht="12.75" customHeight="1" x14ac:dyDescent="0.35">
      <c r="A574"/>
      <c r="B574"/>
      <c r="C574" t="s">
        <v>5843</v>
      </c>
      <c r="D574"/>
      <c r="E574"/>
    </row>
    <row r="575" spans="1:5" ht="12.75" customHeight="1" x14ac:dyDescent="0.35">
      <c r="A575"/>
      <c r="B575" t="s">
        <v>5844</v>
      </c>
      <c r="C575"/>
      <c r="D575"/>
      <c r="E575"/>
    </row>
    <row r="576" spans="1:5" ht="12.75" customHeight="1" x14ac:dyDescent="0.35">
      <c r="A576"/>
      <c r="B576"/>
      <c r="C576" t="s">
        <v>5845</v>
      </c>
      <c r="D576"/>
      <c r="E576"/>
    </row>
    <row r="577" spans="1:5" ht="12.75" customHeight="1" x14ac:dyDescent="0.35">
      <c r="A577"/>
      <c r="B577"/>
      <c r="C577" t="s">
        <v>5844</v>
      </c>
      <c r="D577"/>
      <c r="E577"/>
    </row>
    <row r="578" spans="1:5" ht="12.75" customHeight="1" x14ac:dyDescent="0.35">
      <c r="A578"/>
      <c r="B578"/>
      <c r="C578" t="s">
        <v>5846</v>
      </c>
      <c r="D578"/>
      <c r="E578"/>
    </row>
    <row r="579" spans="1:5" ht="12.75" customHeight="1" x14ac:dyDescent="0.35">
      <c r="A579"/>
      <c r="B579"/>
      <c r="C579" t="s">
        <v>5847</v>
      </c>
      <c r="D579"/>
      <c r="E579"/>
    </row>
    <row r="580" spans="1:5" ht="12.75" customHeight="1" x14ac:dyDescent="0.35">
      <c r="A580"/>
      <c r="B580"/>
      <c r="C580" t="s">
        <v>5845</v>
      </c>
      <c r="D580"/>
      <c r="E580"/>
    </row>
    <row r="581" spans="1:5" ht="12.75" customHeight="1" x14ac:dyDescent="0.35">
      <c r="A581"/>
      <c r="B581"/>
      <c r="C581" t="s">
        <v>5848</v>
      </c>
      <c r="D581"/>
      <c r="E581"/>
    </row>
    <row r="582" spans="1:5" ht="12.75" customHeight="1" x14ac:dyDescent="0.35">
      <c r="A582"/>
      <c r="B582"/>
      <c r="C582" t="s">
        <v>5846</v>
      </c>
      <c r="D582"/>
      <c r="E582"/>
    </row>
    <row r="583" spans="1:5" ht="12.75" customHeight="1" x14ac:dyDescent="0.35">
      <c r="A583"/>
      <c r="B583"/>
      <c r="C583" t="s">
        <v>5849</v>
      </c>
      <c r="D583"/>
      <c r="E583"/>
    </row>
    <row r="584" spans="1:5" ht="12.75" customHeight="1" x14ac:dyDescent="0.35">
      <c r="A584"/>
      <c r="B584"/>
      <c r="C584" t="s">
        <v>5850</v>
      </c>
      <c r="D584"/>
      <c r="E584"/>
    </row>
    <row r="585" spans="1:5" ht="12.75" customHeight="1" x14ac:dyDescent="0.35">
      <c r="A585"/>
      <c r="B585"/>
      <c r="C585" t="s">
        <v>5851</v>
      </c>
      <c r="D585"/>
      <c r="E585"/>
    </row>
    <row r="586" spans="1:5" ht="12.75" customHeight="1" x14ac:dyDescent="0.35">
      <c r="A586"/>
      <c r="B586"/>
      <c r="C586" t="s">
        <v>5846</v>
      </c>
      <c r="D586"/>
      <c r="E586"/>
    </row>
    <row r="587" spans="1:5" ht="12.75" customHeight="1" x14ac:dyDescent="0.35">
      <c r="A587"/>
      <c r="B587"/>
      <c r="C587" t="s">
        <v>5849</v>
      </c>
      <c r="D587"/>
      <c r="E587"/>
    </row>
    <row r="588" spans="1:5" ht="12.75" customHeight="1" x14ac:dyDescent="0.35">
      <c r="A588"/>
      <c r="B588"/>
      <c r="C588" t="s">
        <v>5845</v>
      </c>
      <c r="D588"/>
      <c r="E588"/>
    </row>
    <row r="589" spans="1:5" ht="12.75" customHeight="1" x14ac:dyDescent="0.35">
      <c r="A589"/>
      <c r="B589"/>
      <c r="C589" t="s">
        <v>5852</v>
      </c>
      <c r="D589"/>
      <c r="E589"/>
    </row>
    <row r="590" spans="1:5" ht="12.75" customHeight="1" x14ac:dyDescent="0.35">
      <c r="A590"/>
      <c r="B590"/>
      <c r="C590" t="s">
        <v>5846</v>
      </c>
      <c r="D590"/>
      <c r="E590"/>
    </row>
    <row r="591" spans="1:5" ht="12.75" customHeight="1" x14ac:dyDescent="0.35">
      <c r="A591"/>
      <c r="B591"/>
      <c r="C591" t="s">
        <v>5853</v>
      </c>
      <c r="D591"/>
      <c r="E591"/>
    </row>
    <row r="592" spans="1:5" ht="12.75" customHeight="1" x14ac:dyDescent="0.35">
      <c r="A592"/>
      <c r="B592"/>
      <c r="C592" t="s">
        <v>5845</v>
      </c>
      <c r="D592"/>
      <c r="E592"/>
    </row>
    <row r="593" spans="1:5" ht="12.75" customHeight="1" x14ac:dyDescent="0.35">
      <c r="A593"/>
      <c r="B593"/>
      <c r="C593" t="s">
        <v>5854</v>
      </c>
      <c r="D593"/>
      <c r="E593"/>
    </row>
    <row r="594" spans="1:5" ht="12.75" customHeight="1" x14ac:dyDescent="0.35">
      <c r="A594"/>
      <c r="B594"/>
      <c r="C594" t="s">
        <v>5846</v>
      </c>
      <c r="D594"/>
      <c r="E594"/>
    </row>
    <row r="595" spans="1:5" ht="12.75" customHeight="1" x14ac:dyDescent="0.35">
      <c r="A595"/>
      <c r="B595"/>
      <c r="C595" t="s">
        <v>5855</v>
      </c>
      <c r="D595"/>
      <c r="E595"/>
    </row>
    <row r="596" spans="1:5" ht="12.75" customHeight="1" x14ac:dyDescent="0.35">
      <c r="A596"/>
      <c r="B596"/>
      <c r="C596" t="s">
        <v>5855</v>
      </c>
      <c r="D596"/>
      <c r="E596"/>
    </row>
    <row r="597" spans="1:5" ht="12.75" customHeight="1" x14ac:dyDescent="0.35">
      <c r="A597"/>
      <c r="B597" t="s">
        <v>5856</v>
      </c>
      <c r="C597"/>
      <c r="D597"/>
      <c r="E597"/>
    </row>
    <row r="598" spans="1:5" ht="12.75" customHeight="1" x14ac:dyDescent="0.35">
      <c r="A598"/>
      <c r="B598"/>
      <c r="C598" s="116" t="s">
        <v>6155</v>
      </c>
      <c r="D598"/>
      <c r="E598"/>
    </row>
    <row r="599" spans="1:5" ht="12.75" customHeight="1" x14ac:dyDescent="0.35">
      <c r="A599"/>
      <c r="B599"/>
      <c r="C599" t="s">
        <v>5858</v>
      </c>
      <c r="D599"/>
      <c r="E599"/>
    </row>
    <row r="600" spans="1:5" ht="12.75" customHeight="1" x14ac:dyDescent="0.35">
      <c r="A600"/>
      <c r="B600"/>
      <c r="C600" t="s">
        <v>5859</v>
      </c>
      <c r="D600"/>
      <c r="E600"/>
    </row>
    <row r="601" spans="1:5" ht="12.75" customHeight="1" x14ac:dyDescent="0.35">
      <c r="A601"/>
      <c r="B601"/>
      <c r="C601" t="s">
        <v>5860</v>
      </c>
      <c r="D601"/>
      <c r="E601"/>
    </row>
    <row r="602" spans="1:5" ht="12.75" customHeight="1" x14ac:dyDescent="0.35">
      <c r="A602"/>
      <c r="B602"/>
      <c r="C602" t="s">
        <v>5857</v>
      </c>
      <c r="D602"/>
      <c r="E602"/>
    </row>
    <row r="603" spans="1:5" ht="12.75" customHeight="1" x14ac:dyDescent="0.35">
      <c r="A603"/>
      <c r="B603"/>
      <c r="C603" t="s">
        <v>5861</v>
      </c>
      <c r="D603"/>
      <c r="E603"/>
    </row>
    <row r="604" spans="1:5" ht="12.75" customHeight="1" x14ac:dyDescent="0.35">
      <c r="A604"/>
      <c r="B604"/>
      <c r="C604" t="s">
        <v>5859</v>
      </c>
      <c r="D604"/>
      <c r="E604"/>
    </row>
    <row r="605" spans="1:5" ht="12.75" customHeight="1" x14ac:dyDescent="0.35">
      <c r="A605"/>
      <c r="B605"/>
      <c r="C605" t="s">
        <v>5860</v>
      </c>
      <c r="D605"/>
      <c r="E605"/>
    </row>
    <row r="606" spans="1:5" ht="12.75" customHeight="1" x14ac:dyDescent="0.35">
      <c r="A606"/>
      <c r="B606"/>
      <c r="C606" t="s">
        <v>5857</v>
      </c>
      <c r="D606"/>
      <c r="E606"/>
    </row>
    <row r="607" spans="1:5" ht="12.75" customHeight="1" x14ac:dyDescent="0.35">
      <c r="A607"/>
      <c r="B607"/>
      <c r="C607" t="s">
        <v>5862</v>
      </c>
      <c r="D607"/>
      <c r="E607"/>
    </row>
    <row r="608" spans="1:5" ht="12.75" customHeight="1" x14ac:dyDescent="0.35">
      <c r="A608"/>
      <c r="B608"/>
      <c r="C608" t="s">
        <v>5859</v>
      </c>
      <c r="D608"/>
      <c r="E608"/>
    </row>
    <row r="609" spans="1:5" ht="12.75" customHeight="1" x14ac:dyDescent="0.35">
      <c r="A609"/>
      <c r="B609"/>
      <c r="C609" t="s">
        <v>5860</v>
      </c>
      <c r="D609"/>
      <c r="E609"/>
    </row>
    <row r="610" spans="1:5" ht="12.75" customHeight="1" x14ac:dyDescent="0.35">
      <c r="A610"/>
      <c r="B610"/>
      <c r="C610" t="s">
        <v>5857</v>
      </c>
      <c r="D610"/>
      <c r="E610"/>
    </row>
    <row r="611" spans="1:5" ht="12.75" customHeight="1" x14ac:dyDescent="0.35">
      <c r="A611"/>
      <c r="B611"/>
      <c r="C611" t="s">
        <v>5863</v>
      </c>
      <c r="D611"/>
      <c r="E611"/>
    </row>
    <row r="612" spans="1:5" ht="12.75" customHeight="1" x14ac:dyDescent="0.35">
      <c r="A612"/>
      <c r="B612"/>
      <c r="C612" t="s">
        <v>5859</v>
      </c>
      <c r="D612"/>
      <c r="E612"/>
    </row>
    <row r="613" spans="1:5" ht="12.75" customHeight="1" x14ac:dyDescent="0.35">
      <c r="A613"/>
      <c r="B613"/>
      <c r="C613" t="s">
        <v>5860</v>
      </c>
      <c r="D613"/>
      <c r="E613"/>
    </row>
    <row r="614" spans="1:5" ht="12.75" customHeight="1" x14ac:dyDescent="0.35">
      <c r="A614"/>
      <c r="B614"/>
      <c r="C614" t="s">
        <v>5857</v>
      </c>
      <c r="D614"/>
      <c r="E614"/>
    </row>
    <row r="615" spans="1:5" ht="12.75" customHeight="1" x14ac:dyDescent="0.35">
      <c r="A615"/>
      <c r="B615"/>
      <c r="C615" t="s">
        <v>5864</v>
      </c>
      <c r="D615"/>
      <c r="E615"/>
    </row>
    <row r="616" spans="1:5" ht="12.75" customHeight="1" x14ac:dyDescent="0.35">
      <c r="A616"/>
      <c r="B616"/>
      <c r="C616" t="s">
        <v>5859</v>
      </c>
      <c r="D616"/>
      <c r="E616"/>
    </row>
    <row r="617" spans="1:5" ht="12.75" customHeight="1" x14ac:dyDescent="0.35">
      <c r="A617"/>
      <c r="B617"/>
      <c r="C617" t="s">
        <v>5860</v>
      </c>
      <c r="D617"/>
      <c r="E617"/>
    </row>
    <row r="618" spans="1:5" ht="12.75" customHeight="1" x14ac:dyDescent="0.35">
      <c r="A618"/>
      <c r="B618"/>
      <c r="C618" s="220" t="s">
        <v>6141</v>
      </c>
      <c r="D618"/>
      <c r="E618"/>
    </row>
    <row r="619" spans="1:5" ht="12.75" customHeight="1" x14ac:dyDescent="0.35">
      <c r="A619"/>
      <c r="B619"/>
      <c r="C619" s="220" t="s">
        <v>6142</v>
      </c>
      <c r="D619"/>
      <c r="E619"/>
    </row>
    <row r="620" spans="1:5" ht="12.75" customHeight="1" x14ac:dyDescent="0.35">
      <c r="A620"/>
      <c r="B620"/>
      <c r="C620" t="s">
        <v>5865</v>
      </c>
      <c r="D620"/>
      <c r="E620"/>
    </row>
    <row r="621" spans="1:5" ht="12.75" customHeight="1" x14ac:dyDescent="0.35">
      <c r="A621"/>
      <c r="B621"/>
      <c r="C621" t="s">
        <v>5866</v>
      </c>
      <c r="D621"/>
      <c r="E621"/>
    </row>
    <row r="622" spans="1:5" ht="12.75" customHeight="1" x14ac:dyDescent="0.35">
      <c r="A622"/>
      <c r="B622"/>
      <c r="C622" s="220" t="s">
        <v>6143</v>
      </c>
      <c r="D622"/>
      <c r="E622"/>
    </row>
    <row r="623" spans="1:5" ht="12.75" customHeight="1" x14ac:dyDescent="0.35">
      <c r="A623"/>
      <c r="B623"/>
      <c r="C623" s="220" t="s">
        <v>6144</v>
      </c>
      <c r="D623"/>
      <c r="E623"/>
    </row>
    <row r="624" spans="1:5" ht="12.75" customHeight="1" x14ac:dyDescent="0.35">
      <c r="A624"/>
      <c r="B624"/>
      <c r="C624" t="s">
        <v>5867</v>
      </c>
      <c r="D624"/>
      <c r="E624"/>
    </row>
    <row r="625" spans="1:5" ht="12.75" customHeight="1" x14ac:dyDescent="0.35">
      <c r="A625"/>
      <c r="B625" t="s">
        <v>5868</v>
      </c>
      <c r="C625"/>
      <c r="D625"/>
      <c r="E625"/>
    </row>
    <row r="626" spans="1:5" ht="12.75" customHeight="1" x14ac:dyDescent="0.35">
      <c r="A626"/>
      <c r="B626" t="s">
        <v>5869</v>
      </c>
      <c r="C626"/>
      <c r="D626"/>
      <c r="E626"/>
    </row>
    <row r="627" spans="1:5" ht="12.75" customHeight="1" x14ac:dyDescent="0.35">
      <c r="A627"/>
      <c r="B627"/>
      <c r="C627"/>
      <c r="D627"/>
      <c r="E627"/>
    </row>
    <row r="628" spans="1:5" ht="12.75" customHeight="1" x14ac:dyDescent="0.35">
      <c r="A628"/>
      <c r="B628"/>
      <c r="C628"/>
      <c r="D628"/>
      <c r="E628"/>
    </row>
    <row r="629" spans="1:5" ht="12.75" customHeight="1" x14ac:dyDescent="0.35">
      <c r="A629"/>
      <c r="B629"/>
      <c r="C629"/>
      <c r="D629"/>
      <c r="E629"/>
    </row>
    <row r="630" spans="1:5" ht="12.75" customHeight="1" x14ac:dyDescent="0.35">
      <c r="A630"/>
      <c r="B630" t="s">
        <v>5870</v>
      </c>
      <c r="C630"/>
      <c r="D630"/>
      <c r="E630"/>
    </row>
    <row r="631" spans="1:5" ht="12.75" customHeight="1" x14ac:dyDescent="0.35">
      <c r="A631"/>
      <c r="B631"/>
      <c r="C631"/>
      <c r="D631"/>
      <c r="E631"/>
    </row>
    <row r="632" spans="1:5" ht="12.75" customHeight="1" x14ac:dyDescent="0.35">
      <c r="A632"/>
      <c r="B632" t="s">
        <v>5871</v>
      </c>
      <c r="C632"/>
      <c r="D632"/>
      <c r="E632"/>
    </row>
    <row r="633" spans="1:5" ht="12.75" customHeight="1" x14ac:dyDescent="0.35">
      <c r="A633"/>
      <c r="B633" t="s">
        <v>5872</v>
      </c>
      <c r="C633"/>
      <c r="D633"/>
      <c r="E633"/>
    </row>
    <row r="634" spans="1:5" ht="12.75" customHeight="1" x14ac:dyDescent="0.35">
      <c r="A634"/>
      <c r="B634"/>
      <c r="C634" t="s">
        <v>4029</v>
      </c>
      <c r="D634"/>
      <c r="E634"/>
    </row>
    <row r="635" spans="1:5" ht="12.75" customHeight="1" x14ac:dyDescent="0.35">
      <c r="A635"/>
      <c r="B635"/>
      <c r="C635"/>
      <c r="D635"/>
      <c r="E635"/>
    </row>
    <row r="636" spans="1:5" ht="12.75" customHeight="1" x14ac:dyDescent="0.35">
      <c r="A636"/>
      <c r="B636"/>
      <c r="C636"/>
      <c r="D636"/>
      <c r="E636"/>
    </row>
    <row r="637" spans="1:5" ht="12.75" customHeight="1" x14ac:dyDescent="0.35">
      <c r="A637"/>
      <c r="B637"/>
      <c r="C637"/>
      <c r="D637"/>
      <c r="E637"/>
    </row>
    <row r="638" spans="1:5" ht="12.75" customHeight="1" x14ac:dyDescent="0.35">
      <c r="A638"/>
      <c r="B638"/>
      <c r="C638"/>
      <c r="D638"/>
      <c r="E638"/>
    </row>
    <row r="639" spans="1:5" ht="12.75" customHeight="1" x14ac:dyDescent="0.35">
      <c r="A639"/>
      <c r="B639"/>
      <c r="C639"/>
      <c r="D639"/>
      <c r="E639"/>
    </row>
    <row r="640" spans="1:5" ht="12.75" customHeight="1" x14ac:dyDescent="0.35">
      <c r="A640"/>
      <c r="B640"/>
      <c r="C640"/>
      <c r="D640"/>
      <c r="E640"/>
    </row>
    <row r="641" spans="1:5" ht="12.75" customHeight="1" x14ac:dyDescent="0.35">
      <c r="A641"/>
      <c r="B641"/>
      <c r="C641"/>
      <c r="D641"/>
      <c r="E641"/>
    </row>
    <row r="642" spans="1:5" ht="12.75" customHeight="1" x14ac:dyDescent="0.35">
      <c r="A642"/>
      <c r="B642"/>
      <c r="C642"/>
      <c r="D642"/>
      <c r="E642"/>
    </row>
    <row r="643" spans="1:5" ht="12.75" customHeight="1" x14ac:dyDescent="0.35">
      <c r="A643"/>
      <c r="B643"/>
      <c r="C643"/>
      <c r="D643"/>
      <c r="E643"/>
    </row>
    <row r="644" spans="1:5" ht="12.75" customHeight="1" x14ac:dyDescent="0.35">
      <c r="A644"/>
      <c r="B644"/>
      <c r="C644"/>
      <c r="D644"/>
      <c r="E644"/>
    </row>
    <row r="645" spans="1:5" ht="12.75" customHeight="1" x14ac:dyDescent="0.35">
      <c r="A645"/>
      <c r="B645"/>
      <c r="C645" t="s">
        <v>5779</v>
      </c>
      <c r="D645"/>
      <c r="E645"/>
    </row>
    <row r="646" spans="1:5" ht="12.75" customHeight="1" x14ac:dyDescent="0.35">
      <c r="A646"/>
      <c r="B646"/>
      <c r="C646"/>
      <c r="D646"/>
      <c r="E646"/>
    </row>
    <row r="647" spans="1:5" ht="12.75" customHeight="1" x14ac:dyDescent="0.35">
      <c r="A647"/>
      <c r="B647"/>
      <c r="C647"/>
      <c r="D647"/>
      <c r="E647"/>
    </row>
    <row r="648" spans="1:5" ht="12.75" customHeight="1" x14ac:dyDescent="0.35">
      <c r="A648"/>
      <c r="B648"/>
      <c r="C648"/>
      <c r="D648"/>
      <c r="E648"/>
    </row>
    <row r="649" spans="1:5" ht="12.75" customHeight="1" x14ac:dyDescent="0.35">
      <c r="A649"/>
      <c r="B649"/>
      <c r="C649"/>
      <c r="D649"/>
      <c r="E649"/>
    </row>
    <row r="650" spans="1:5" ht="12.75" customHeight="1" x14ac:dyDescent="0.35">
      <c r="A650"/>
      <c r="B650"/>
      <c r="C650"/>
      <c r="D650"/>
      <c r="E650"/>
    </row>
    <row r="651" spans="1:5" ht="12.75" customHeight="1" x14ac:dyDescent="0.35">
      <c r="A651"/>
      <c r="B651"/>
      <c r="C651"/>
      <c r="D651"/>
      <c r="E651"/>
    </row>
    <row r="652" spans="1:5" ht="12.75" customHeight="1" x14ac:dyDescent="0.35">
      <c r="A652"/>
      <c r="B652"/>
      <c r="C652"/>
      <c r="D652"/>
      <c r="E652"/>
    </row>
    <row r="653" spans="1:5" ht="12.75" customHeight="1" x14ac:dyDescent="0.35">
      <c r="A653"/>
      <c r="B653"/>
      <c r="C653"/>
      <c r="D653"/>
      <c r="E653"/>
    </row>
    <row r="654" spans="1:5" ht="12.75" customHeight="1" x14ac:dyDescent="0.35">
      <c r="A654"/>
      <c r="B654"/>
      <c r="C654"/>
      <c r="D654"/>
      <c r="E654"/>
    </row>
    <row r="655" spans="1:5" ht="12.75" customHeight="1" x14ac:dyDescent="0.35">
      <c r="A655"/>
      <c r="B655"/>
      <c r="C655"/>
      <c r="D655"/>
      <c r="E655"/>
    </row>
    <row r="656" spans="1:5" ht="12.75" customHeight="1" x14ac:dyDescent="0.35">
      <c r="A656"/>
      <c r="B656"/>
      <c r="C656" t="s">
        <v>5787</v>
      </c>
      <c r="D656"/>
      <c r="E656"/>
    </row>
    <row r="657" spans="1:5" ht="12.75" customHeight="1" x14ac:dyDescent="0.35">
      <c r="A657"/>
      <c r="B657"/>
      <c r="C657"/>
      <c r="D657"/>
      <c r="E657"/>
    </row>
    <row r="658" spans="1:5" ht="12.75" customHeight="1" x14ac:dyDescent="0.35">
      <c r="A658"/>
      <c r="B658"/>
      <c r="C658"/>
      <c r="D658"/>
      <c r="E658"/>
    </row>
    <row r="659" spans="1:5" ht="12.75" customHeight="1" x14ac:dyDescent="0.35">
      <c r="A659"/>
      <c r="B659"/>
      <c r="C659"/>
      <c r="D659"/>
      <c r="E659"/>
    </row>
    <row r="660" spans="1:5" ht="12.75" customHeight="1" x14ac:dyDescent="0.35">
      <c r="A660"/>
      <c r="B660"/>
      <c r="C660"/>
      <c r="D660"/>
      <c r="E660"/>
    </row>
    <row r="661" spans="1:5" ht="12.75" customHeight="1" x14ac:dyDescent="0.35">
      <c r="A661"/>
      <c r="B661"/>
      <c r="C661"/>
      <c r="D661"/>
      <c r="E661"/>
    </row>
    <row r="662" spans="1:5" ht="12.75" customHeight="1" x14ac:dyDescent="0.35">
      <c r="A662"/>
      <c r="B662"/>
      <c r="C662"/>
      <c r="D662"/>
      <c r="E662"/>
    </row>
    <row r="663" spans="1:5" ht="12.75" customHeight="1" x14ac:dyDescent="0.35">
      <c r="A663"/>
      <c r="B663"/>
      <c r="C663"/>
      <c r="D663"/>
      <c r="E663"/>
    </row>
    <row r="664" spans="1:5" ht="12.75" customHeight="1" x14ac:dyDescent="0.35">
      <c r="A664"/>
      <c r="B664"/>
      <c r="C664"/>
      <c r="D664"/>
      <c r="E664"/>
    </row>
    <row r="665" spans="1:5" ht="12.75" customHeight="1" x14ac:dyDescent="0.35">
      <c r="A665"/>
      <c r="B665"/>
      <c r="C665"/>
      <c r="D665"/>
      <c r="E665"/>
    </row>
    <row r="666" spans="1:5" ht="12.75" customHeight="1" x14ac:dyDescent="0.35">
      <c r="A666"/>
      <c r="B666"/>
      <c r="C666"/>
      <c r="D666"/>
      <c r="E666"/>
    </row>
    <row r="667" spans="1:5" ht="12.75" customHeight="1" x14ac:dyDescent="0.35">
      <c r="A667"/>
      <c r="B667"/>
      <c r="C667" s="116" t="s">
        <v>6148</v>
      </c>
      <c r="D667"/>
      <c r="E667"/>
    </row>
    <row r="668" spans="1:5" ht="12.75" customHeight="1" x14ac:dyDescent="0.35">
      <c r="A668"/>
      <c r="B668"/>
      <c r="C668"/>
      <c r="D668"/>
      <c r="E668"/>
    </row>
    <row r="669" spans="1:5" ht="12.75" customHeight="1" x14ac:dyDescent="0.35">
      <c r="A669"/>
      <c r="B669"/>
      <c r="C669" t="s">
        <v>5873</v>
      </c>
      <c r="D669"/>
      <c r="E669"/>
    </row>
    <row r="670" spans="1:5" ht="12.75" customHeight="1" x14ac:dyDescent="0.35">
      <c r="A670"/>
      <c r="B670"/>
      <c r="C670"/>
      <c r="D670"/>
      <c r="E670"/>
    </row>
    <row r="671" spans="1:5" ht="12.75" customHeight="1" x14ac:dyDescent="0.35">
      <c r="A671"/>
      <c r="B671"/>
      <c r="C671"/>
      <c r="D671"/>
      <c r="E671"/>
    </row>
    <row r="672" spans="1:5" ht="12.75" customHeight="1" x14ac:dyDescent="0.35">
      <c r="A672"/>
      <c r="B672"/>
      <c r="C672"/>
      <c r="D672"/>
      <c r="E672"/>
    </row>
    <row r="673" spans="1:5" ht="12.75" customHeight="1" x14ac:dyDescent="0.35">
      <c r="A673"/>
      <c r="B673" t="s">
        <v>5874</v>
      </c>
      <c r="C673"/>
      <c r="D673"/>
      <c r="E673"/>
    </row>
    <row r="674" spans="1:5" ht="12.75" customHeight="1" x14ac:dyDescent="0.35">
      <c r="A674"/>
      <c r="B674" t="s">
        <v>5875</v>
      </c>
      <c r="C674"/>
      <c r="D674"/>
      <c r="E674"/>
    </row>
    <row r="675" spans="1:5" ht="12.75" customHeight="1" x14ac:dyDescent="0.35">
      <c r="A675"/>
      <c r="B675" t="s">
        <v>5876</v>
      </c>
      <c r="C675"/>
      <c r="D675"/>
      <c r="E675"/>
    </row>
    <row r="676" spans="1:5" ht="12.75" customHeight="1" x14ac:dyDescent="0.35">
      <c r="A676"/>
      <c r="B676" t="s">
        <v>5877</v>
      </c>
      <c r="C676"/>
      <c r="D676"/>
      <c r="E676"/>
    </row>
    <row r="677" spans="1:5" ht="12.75" customHeight="1" x14ac:dyDescent="0.35">
      <c r="A677"/>
      <c r="B677"/>
      <c r="C677" t="s">
        <v>5878</v>
      </c>
      <c r="D677"/>
      <c r="E677"/>
    </row>
    <row r="678" spans="1:5" ht="12.75" customHeight="1" x14ac:dyDescent="0.35">
      <c r="A678"/>
      <c r="B678"/>
      <c r="C678"/>
      <c r="D678"/>
      <c r="E678"/>
    </row>
    <row r="679" spans="1:5" ht="12.75" customHeight="1" x14ac:dyDescent="0.35">
      <c r="A679"/>
      <c r="B679"/>
      <c r="C679" t="s">
        <v>5879</v>
      </c>
      <c r="D679"/>
      <c r="E679"/>
    </row>
    <row r="680" spans="1:5" ht="12.75" customHeight="1" x14ac:dyDescent="0.35">
      <c r="A680"/>
      <c r="B680" s="159" t="s">
        <v>6132</v>
      </c>
      <c r="C680"/>
      <c r="D680"/>
      <c r="E680"/>
    </row>
    <row r="681" spans="1:5" ht="12.75" customHeight="1" x14ac:dyDescent="0.35">
      <c r="A681"/>
      <c r="B681" s="159" t="s">
        <v>6133</v>
      </c>
      <c r="C681"/>
      <c r="D681"/>
      <c r="E681"/>
    </row>
    <row r="682" spans="1:5" ht="12.75" customHeight="1" x14ac:dyDescent="0.35">
      <c r="A682"/>
      <c r="B682" s="159" t="s">
        <v>6134</v>
      </c>
      <c r="C682"/>
      <c r="D682"/>
      <c r="E682"/>
    </row>
    <row r="683" spans="1:5" ht="12.75" customHeight="1" x14ac:dyDescent="0.35">
      <c r="A683"/>
      <c r="B683" t="s">
        <v>5880</v>
      </c>
      <c r="C683"/>
      <c r="D683"/>
      <c r="E683"/>
    </row>
    <row r="684" spans="1:5" ht="12.75" customHeight="1" x14ac:dyDescent="0.35">
      <c r="A684"/>
      <c r="B684" t="s">
        <v>4036</v>
      </c>
      <c r="C684"/>
      <c r="D684"/>
      <c r="E684"/>
    </row>
    <row r="685" spans="1:5" ht="12.75" customHeight="1" x14ac:dyDescent="0.35">
      <c r="A685"/>
      <c r="B685" t="s">
        <v>5881</v>
      </c>
      <c r="C685"/>
      <c r="D685"/>
      <c r="E685"/>
    </row>
    <row r="686" spans="1:5" ht="12.75" customHeight="1" x14ac:dyDescent="0.35">
      <c r="A686"/>
      <c r="B686" t="s">
        <v>5882</v>
      </c>
      <c r="C686"/>
      <c r="D686"/>
      <c r="E686"/>
    </row>
    <row r="687" spans="1:5" ht="12.75" customHeight="1" x14ac:dyDescent="0.35">
      <c r="A687"/>
      <c r="B687"/>
      <c r="C687" t="s">
        <v>5883</v>
      </c>
      <c r="D687"/>
      <c r="E687"/>
    </row>
    <row r="688" spans="1:5" ht="12.75" customHeight="1" x14ac:dyDescent="0.35">
      <c r="A688"/>
      <c r="B688"/>
      <c r="C688" s="116" t="s">
        <v>6156</v>
      </c>
      <c r="D688"/>
      <c r="E688"/>
    </row>
    <row r="689" spans="1:5" ht="12.75" customHeight="1" x14ac:dyDescent="0.35">
      <c r="A689"/>
      <c r="B689"/>
      <c r="C689" t="s">
        <v>5884</v>
      </c>
      <c r="D689"/>
      <c r="E689"/>
    </row>
    <row r="690" spans="1:5" ht="12.75" customHeight="1" x14ac:dyDescent="0.35">
      <c r="A690"/>
      <c r="B690"/>
      <c r="C690" t="s">
        <v>5885</v>
      </c>
      <c r="D690"/>
      <c r="E690"/>
    </row>
    <row r="691" spans="1:5" ht="12.75" customHeight="1" x14ac:dyDescent="0.35">
      <c r="A691"/>
      <c r="B691"/>
      <c r="C691" s="1284" t="s">
        <v>5884</v>
      </c>
      <c r="D691"/>
      <c r="E691"/>
    </row>
    <row r="692" spans="1:5" ht="12.75" customHeight="1" x14ac:dyDescent="0.35">
      <c r="A692"/>
      <c r="B692"/>
      <c r="C692" s="116" t="s">
        <v>6157</v>
      </c>
      <c r="D692"/>
      <c r="E692"/>
    </row>
    <row r="693" spans="1:5" ht="12.75" customHeight="1" x14ac:dyDescent="0.35">
      <c r="A693"/>
      <c r="B693"/>
      <c r="C693" t="s">
        <v>5886</v>
      </c>
      <c r="D693"/>
      <c r="E693"/>
    </row>
    <row r="694" spans="1:5" ht="12.75" customHeight="1" x14ac:dyDescent="0.35">
      <c r="A694"/>
      <c r="B694"/>
      <c r="C694" s="220" t="s">
        <v>6145</v>
      </c>
      <c r="D694"/>
      <c r="E694"/>
    </row>
    <row r="695" spans="1:5" ht="12.75" customHeight="1" x14ac:dyDescent="0.35">
      <c r="A695"/>
      <c r="B695"/>
      <c r="C695" s="116" t="s">
        <v>6158</v>
      </c>
      <c r="D695"/>
      <c r="E695"/>
    </row>
    <row r="696" spans="1:5" ht="12.75" customHeight="1" x14ac:dyDescent="0.35">
      <c r="A696"/>
      <c r="B696"/>
      <c r="C696" t="s">
        <v>5887</v>
      </c>
      <c r="D696"/>
      <c r="E696"/>
    </row>
    <row r="697" spans="1:5" ht="12.75" customHeight="1" x14ac:dyDescent="0.35">
      <c r="A697"/>
      <c r="B697" t="s">
        <v>5888</v>
      </c>
      <c r="C697"/>
      <c r="D697"/>
      <c r="E697"/>
    </row>
    <row r="698" spans="1:5" ht="12.75" customHeight="1" x14ac:dyDescent="0.35">
      <c r="A698"/>
      <c r="B698" t="s">
        <v>5889</v>
      </c>
      <c r="C698"/>
      <c r="D698"/>
      <c r="E698"/>
    </row>
    <row r="699" spans="1:5" ht="12.75" customHeight="1" x14ac:dyDescent="0.35">
      <c r="A699"/>
      <c r="B699" t="s">
        <v>5890</v>
      </c>
      <c r="C699"/>
      <c r="D699"/>
      <c r="E699"/>
    </row>
    <row r="700" spans="1:5" ht="12.75" customHeight="1" x14ac:dyDescent="0.35">
      <c r="A700"/>
      <c r="B700" t="s">
        <v>5891</v>
      </c>
      <c r="C700"/>
      <c r="D700"/>
      <c r="E700"/>
    </row>
    <row r="701" spans="1:5" ht="12.75" customHeight="1" x14ac:dyDescent="0.35">
      <c r="A701"/>
      <c r="B701"/>
      <c r="C701" t="s">
        <v>5892</v>
      </c>
      <c r="D701"/>
      <c r="E701"/>
    </row>
    <row r="702" spans="1:5" ht="12.75" customHeight="1" x14ac:dyDescent="0.35">
      <c r="A702"/>
      <c r="B702"/>
      <c r="C702" t="s">
        <v>5893</v>
      </c>
      <c r="D702"/>
      <c r="E702"/>
    </row>
    <row r="703" spans="1:5" ht="12.75" customHeight="1" x14ac:dyDescent="0.35">
      <c r="A703"/>
      <c r="B703"/>
      <c r="C703" t="s">
        <v>5894</v>
      </c>
      <c r="D703"/>
      <c r="E703"/>
    </row>
    <row r="704" spans="1:5" ht="12.75" customHeight="1" x14ac:dyDescent="0.35">
      <c r="A704"/>
      <c r="B704"/>
      <c r="C704" t="s">
        <v>5895</v>
      </c>
      <c r="D704"/>
      <c r="E704"/>
    </row>
    <row r="705" spans="1:5" ht="12.75" customHeight="1" x14ac:dyDescent="0.35">
      <c r="A705"/>
      <c r="B705"/>
      <c r="C705" t="s">
        <v>5896</v>
      </c>
      <c r="D705"/>
      <c r="E705"/>
    </row>
    <row r="706" spans="1:5" ht="12.75" customHeight="1" x14ac:dyDescent="0.35">
      <c r="A706"/>
      <c r="B706"/>
      <c r="C706" t="s">
        <v>5897</v>
      </c>
      <c r="D706"/>
      <c r="E706"/>
    </row>
    <row r="707" spans="1:5" ht="12.75" customHeight="1" x14ac:dyDescent="0.35">
      <c r="A707"/>
      <c r="B707" t="s">
        <v>5898</v>
      </c>
      <c r="C707"/>
      <c r="D707"/>
      <c r="E707"/>
    </row>
    <row r="708" spans="1:5" ht="12.75" customHeight="1" x14ac:dyDescent="0.35">
      <c r="A708"/>
      <c r="B708" t="s">
        <v>5899</v>
      </c>
      <c r="C708"/>
      <c r="D708"/>
      <c r="E708"/>
    </row>
    <row r="709" spans="1:5" ht="12.75" customHeight="1" x14ac:dyDescent="0.35">
      <c r="A709"/>
      <c r="B709"/>
      <c r="C709"/>
      <c r="D709"/>
      <c r="E709"/>
    </row>
    <row r="710" spans="1:5" ht="12.75" customHeight="1" x14ac:dyDescent="0.35">
      <c r="A710"/>
      <c r="B710"/>
      <c r="C710"/>
      <c r="D710"/>
      <c r="E710"/>
    </row>
    <row r="711" spans="1:5" ht="12.75" customHeight="1" x14ac:dyDescent="0.35">
      <c r="A711"/>
      <c r="B711"/>
      <c r="C711"/>
      <c r="D711"/>
      <c r="E711"/>
    </row>
    <row r="712" spans="1:5" ht="12.75" customHeight="1" x14ac:dyDescent="0.35">
      <c r="A712"/>
      <c r="B712" t="s">
        <v>5900</v>
      </c>
      <c r="C712"/>
      <c r="D712"/>
      <c r="E712"/>
    </row>
    <row r="713" spans="1:5" ht="12.75" customHeight="1" x14ac:dyDescent="0.35">
      <c r="A713"/>
      <c r="B713"/>
      <c r="C713"/>
      <c r="D713"/>
      <c r="E713"/>
    </row>
    <row r="714" spans="1:5" ht="12.75" customHeight="1" x14ac:dyDescent="0.35">
      <c r="A714"/>
      <c r="B714" t="s">
        <v>5736</v>
      </c>
      <c r="C714"/>
      <c r="D714"/>
      <c r="E714"/>
    </row>
    <row r="715" spans="1:5" ht="12.75" customHeight="1" x14ac:dyDescent="0.35">
      <c r="A715"/>
      <c r="B715" t="s">
        <v>5901</v>
      </c>
      <c r="C715"/>
      <c r="D715" t="s">
        <v>5902</v>
      </c>
      <c r="E715"/>
    </row>
    <row r="716" spans="1:5" ht="12.75" customHeight="1" x14ac:dyDescent="0.35">
      <c r="A716"/>
      <c r="B716" t="s">
        <v>5903</v>
      </c>
      <c r="C716"/>
      <c r="D716"/>
      <c r="E716"/>
    </row>
    <row r="717" spans="1:5" ht="12.75" customHeight="1" x14ac:dyDescent="0.35">
      <c r="A717"/>
      <c r="B717"/>
      <c r="C717" t="s">
        <v>5904</v>
      </c>
      <c r="D717"/>
      <c r="E717"/>
    </row>
    <row r="718" spans="1:5" ht="12.75" customHeight="1" x14ac:dyDescent="0.35">
      <c r="A718"/>
      <c r="B718"/>
      <c r="C718" t="s">
        <v>5905</v>
      </c>
      <c r="D718"/>
      <c r="E718"/>
    </row>
    <row r="719" spans="1:5" ht="12.75" customHeight="1" x14ac:dyDescent="0.35">
      <c r="A719"/>
      <c r="B719"/>
      <c r="C719" t="s">
        <v>5906</v>
      </c>
      <c r="D719"/>
      <c r="E719"/>
    </row>
    <row r="720" spans="1:5" ht="12.75" customHeight="1" x14ac:dyDescent="0.35">
      <c r="A720"/>
      <c r="B720"/>
      <c r="C720" t="s">
        <v>5905</v>
      </c>
      <c r="D720"/>
      <c r="E720"/>
    </row>
    <row r="721" spans="1:5" ht="12.75" customHeight="1" x14ac:dyDescent="0.35">
      <c r="A721"/>
      <c r="B721"/>
      <c r="C721" t="s">
        <v>4065</v>
      </c>
      <c r="D721"/>
      <c r="E721"/>
    </row>
    <row r="722" spans="1:5" ht="12.75" customHeight="1" x14ac:dyDescent="0.35">
      <c r="A722"/>
      <c r="B722"/>
      <c r="C722" t="s">
        <v>5907</v>
      </c>
      <c r="D722"/>
      <c r="E722"/>
    </row>
    <row r="723" spans="1:5" ht="12.75" customHeight="1" x14ac:dyDescent="0.35">
      <c r="A723"/>
      <c r="B723"/>
      <c r="C723" t="s">
        <v>5908</v>
      </c>
      <c r="D723"/>
      <c r="E723"/>
    </row>
    <row r="724" spans="1:5" ht="12.75" customHeight="1" x14ac:dyDescent="0.35">
      <c r="A724"/>
      <c r="B724"/>
      <c r="C724" t="s">
        <v>5909</v>
      </c>
      <c r="D724"/>
      <c r="E724"/>
    </row>
    <row r="725" spans="1:5" ht="12.75" customHeight="1" x14ac:dyDescent="0.35">
      <c r="A725"/>
      <c r="B725"/>
      <c r="C725" t="s">
        <v>4065</v>
      </c>
      <c r="D725"/>
      <c r="E725"/>
    </row>
    <row r="726" spans="1:5" ht="12.75" customHeight="1" x14ac:dyDescent="0.35">
      <c r="A726"/>
      <c r="B726"/>
      <c r="C726" t="s">
        <v>5766</v>
      </c>
      <c r="D726"/>
      <c r="E726"/>
    </row>
    <row r="727" spans="1:5" ht="12.75" customHeight="1" x14ac:dyDescent="0.35">
      <c r="A727"/>
      <c r="B727"/>
      <c r="C727" t="s">
        <v>5910</v>
      </c>
      <c r="D727"/>
      <c r="E727"/>
    </row>
    <row r="728" spans="1:5" ht="12.75" customHeight="1" x14ac:dyDescent="0.35">
      <c r="A728"/>
      <c r="B728"/>
      <c r="C728" t="s">
        <v>5766</v>
      </c>
      <c r="D728"/>
      <c r="E728"/>
    </row>
    <row r="729" spans="1:5" ht="12.75" customHeight="1" x14ac:dyDescent="0.35">
      <c r="A729"/>
      <c r="B729"/>
      <c r="C729" t="s">
        <v>4065</v>
      </c>
      <c r="D729"/>
      <c r="E729"/>
    </row>
    <row r="730" spans="1:5" ht="12.75" customHeight="1" x14ac:dyDescent="0.35">
      <c r="A730"/>
      <c r="B730"/>
      <c r="C730" t="s">
        <v>5911</v>
      </c>
      <c r="D730"/>
      <c r="E730"/>
    </row>
    <row r="731" spans="1:5" ht="12.75" customHeight="1" x14ac:dyDescent="0.35">
      <c r="A731"/>
      <c r="B731"/>
      <c r="C731" t="s">
        <v>5912</v>
      </c>
      <c r="D731"/>
      <c r="E731"/>
    </row>
    <row r="732" spans="1:5" ht="12.75" customHeight="1" x14ac:dyDescent="0.35">
      <c r="A732"/>
      <c r="B732"/>
      <c r="C732" t="s">
        <v>5911</v>
      </c>
      <c r="D732"/>
      <c r="E732"/>
    </row>
    <row r="733" spans="1:5" ht="12.75" customHeight="1" x14ac:dyDescent="0.35">
      <c r="A733"/>
      <c r="B733"/>
      <c r="C733" t="s">
        <v>4065</v>
      </c>
      <c r="D733"/>
      <c r="E733"/>
    </row>
    <row r="734" spans="1:5" ht="12.75" customHeight="1" x14ac:dyDescent="0.35">
      <c r="A734"/>
      <c r="B734"/>
      <c r="C734" t="s">
        <v>5913</v>
      </c>
      <c r="D734"/>
      <c r="E734"/>
    </row>
    <row r="735" spans="1:5" ht="12.75" customHeight="1" x14ac:dyDescent="0.35">
      <c r="A735"/>
      <c r="B735"/>
      <c r="C735" t="s">
        <v>5914</v>
      </c>
      <c r="D735"/>
      <c r="E735"/>
    </row>
    <row r="736" spans="1:5" ht="12.75" customHeight="1" x14ac:dyDescent="0.35">
      <c r="A736"/>
      <c r="B736"/>
      <c r="C736" t="s">
        <v>5915</v>
      </c>
      <c r="D736"/>
      <c r="E736"/>
    </row>
    <row r="737" spans="1:5" ht="12.75" customHeight="1" x14ac:dyDescent="0.35">
      <c r="A737"/>
      <c r="B737"/>
      <c r="C737" t="s">
        <v>5914</v>
      </c>
      <c r="D737"/>
      <c r="E737"/>
    </row>
    <row r="738" spans="1:5" ht="12.75" customHeight="1" x14ac:dyDescent="0.35">
      <c r="A738"/>
      <c r="B738"/>
      <c r="C738" t="s">
        <v>4065</v>
      </c>
      <c r="D738"/>
      <c r="E738"/>
    </row>
    <row r="739" spans="1:5" ht="12.75" customHeight="1" x14ac:dyDescent="0.35">
      <c r="A739"/>
      <c r="B739"/>
      <c r="C739" t="s">
        <v>5916</v>
      </c>
      <c r="D739"/>
      <c r="E739"/>
    </row>
    <row r="740" spans="1:5" ht="12.75" customHeight="1" x14ac:dyDescent="0.35">
      <c r="A740"/>
      <c r="B740"/>
      <c r="C740" t="s">
        <v>5917</v>
      </c>
      <c r="D740"/>
      <c r="E740"/>
    </row>
    <row r="741" spans="1:5" ht="12.75" customHeight="1" x14ac:dyDescent="0.35">
      <c r="A741"/>
      <c r="B741"/>
      <c r="C741" t="s">
        <v>5916</v>
      </c>
      <c r="D741"/>
      <c r="E741"/>
    </row>
    <row r="742" spans="1:5" ht="12.75" customHeight="1" x14ac:dyDescent="0.35">
      <c r="A742"/>
      <c r="B742"/>
      <c r="C742" t="s">
        <v>4065</v>
      </c>
      <c r="D742"/>
      <c r="E742"/>
    </row>
    <row r="743" spans="1:5" ht="12.75" customHeight="1" x14ac:dyDescent="0.35">
      <c r="A743"/>
      <c r="B743"/>
      <c r="C743" t="s">
        <v>5918</v>
      </c>
      <c r="D743"/>
      <c r="E743"/>
    </row>
    <row r="744" spans="1:5" ht="12.75" customHeight="1" x14ac:dyDescent="0.35">
      <c r="A744"/>
      <c r="B744"/>
      <c r="C744" t="s">
        <v>5919</v>
      </c>
      <c r="D744"/>
      <c r="E744"/>
    </row>
    <row r="745" spans="1:5" ht="12.75" customHeight="1" x14ac:dyDescent="0.35">
      <c r="A745"/>
      <c r="B745"/>
      <c r="C745" t="s">
        <v>5918</v>
      </c>
      <c r="D745"/>
      <c r="E745"/>
    </row>
    <row r="746" spans="1:5" ht="12.75" customHeight="1" x14ac:dyDescent="0.35">
      <c r="A746"/>
      <c r="B746"/>
      <c r="C746" t="s">
        <v>4065</v>
      </c>
      <c r="D746"/>
      <c r="E746"/>
    </row>
    <row r="747" spans="1:5" ht="12.75" customHeight="1" x14ac:dyDescent="0.35">
      <c r="A747"/>
      <c r="B747"/>
      <c r="C747" t="s">
        <v>5920</v>
      </c>
      <c r="D747"/>
      <c r="E747"/>
    </row>
    <row r="748" spans="1:5" ht="12.75" customHeight="1" x14ac:dyDescent="0.35">
      <c r="A748"/>
      <c r="B748"/>
      <c r="C748" t="s">
        <v>5921</v>
      </c>
      <c r="D748"/>
      <c r="E748"/>
    </row>
    <row r="749" spans="1:5" ht="12.75" customHeight="1" x14ac:dyDescent="0.35">
      <c r="A749"/>
      <c r="B749"/>
      <c r="C749" s="116" t="s">
        <v>5920</v>
      </c>
      <c r="D749"/>
      <c r="E749"/>
    </row>
    <row r="750" spans="1:5" ht="12.75" customHeight="1" x14ac:dyDescent="0.35">
      <c r="A750"/>
      <c r="B750"/>
      <c r="C750" t="s">
        <v>4065</v>
      </c>
      <c r="D750"/>
      <c r="E750"/>
    </row>
    <row r="751" spans="1:5" ht="12.75" customHeight="1" x14ac:dyDescent="0.35">
      <c r="A751"/>
      <c r="B751"/>
      <c r="C751" t="s">
        <v>5922</v>
      </c>
      <c r="D751"/>
      <c r="E751"/>
    </row>
    <row r="752" spans="1:5" ht="12.75" customHeight="1" x14ac:dyDescent="0.35">
      <c r="A752"/>
      <c r="B752"/>
      <c r="C752" t="s">
        <v>5923</v>
      </c>
      <c r="D752"/>
      <c r="E752"/>
    </row>
    <row r="753" spans="1:5" ht="12.75" customHeight="1" x14ac:dyDescent="0.35">
      <c r="A753"/>
      <c r="B753"/>
      <c r="C753" t="s">
        <v>5922</v>
      </c>
      <c r="D753"/>
      <c r="E753"/>
    </row>
    <row r="754" spans="1:5" ht="12.75" customHeight="1" x14ac:dyDescent="0.35">
      <c r="A754"/>
      <c r="B754"/>
      <c r="C754" t="s">
        <v>4065</v>
      </c>
      <c r="D754"/>
      <c r="E754"/>
    </row>
    <row r="755" spans="1:5" ht="12.75" customHeight="1" x14ac:dyDescent="0.35">
      <c r="A755"/>
      <c r="B755"/>
      <c r="C755" t="s">
        <v>3916</v>
      </c>
      <c r="D755"/>
      <c r="E755"/>
    </row>
    <row r="756" spans="1:5" ht="12.75" customHeight="1" x14ac:dyDescent="0.35">
      <c r="A756"/>
      <c r="B756"/>
      <c r="C756" t="s">
        <v>5924</v>
      </c>
      <c r="D756"/>
      <c r="E756"/>
    </row>
    <row r="757" spans="1:5" ht="12.75" customHeight="1" x14ac:dyDescent="0.35">
      <c r="A757"/>
      <c r="B757"/>
      <c r="C757" t="s">
        <v>5925</v>
      </c>
      <c r="D757"/>
      <c r="E757"/>
    </row>
    <row r="758" spans="1:5" ht="12.75" customHeight="1" x14ac:dyDescent="0.35">
      <c r="A758"/>
      <c r="B758"/>
      <c r="C758" t="s">
        <v>5924</v>
      </c>
      <c r="D758"/>
      <c r="E758"/>
    </row>
    <row r="759" spans="1:5" ht="12.75" customHeight="1" x14ac:dyDescent="0.35">
      <c r="A759"/>
      <c r="B759"/>
      <c r="C759" t="s">
        <v>4065</v>
      </c>
      <c r="D759"/>
      <c r="E759"/>
    </row>
    <row r="760" spans="1:5" ht="12.75" customHeight="1" x14ac:dyDescent="0.35">
      <c r="A760"/>
      <c r="B760"/>
      <c r="C760" t="s">
        <v>5926</v>
      </c>
      <c r="D760"/>
      <c r="E760"/>
    </row>
    <row r="761" spans="1:5" ht="12.75" customHeight="1" x14ac:dyDescent="0.35">
      <c r="A761"/>
      <c r="B761"/>
      <c r="C761" t="s">
        <v>5927</v>
      </c>
      <c r="D761"/>
      <c r="E761"/>
    </row>
    <row r="762" spans="1:5" ht="12.75" customHeight="1" x14ac:dyDescent="0.35">
      <c r="A762"/>
      <c r="B762"/>
      <c r="C762" t="s">
        <v>5928</v>
      </c>
      <c r="D762"/>
      <c r="E762"/>
    </row>
    <row r="763" spans="1:5" ht="12.75" customHeight="1" x14ac:dyDescent="0.35">
      <c r="A763"/>
      <c r="B763"/>
      <c r="C763" t="s">
        <v>4065</v>
      </c>
      <c r="D763"/>
      <c r="E763"/>
    </row>
    <row r="764" spans="1:5" ht="12.75" customHeight="1" x14ac:dyDescent="0.35">
      <c r="A764"/>
      <c r="B764"/>
      <c r="C764" t="s">
        <v>5929</v>
      </c>
      <c r="D764"/>
      <c r="E764"/>
    </row>
    <row r="765" spans="1:5" ht="12.75" customHeight="1" x14ac:dyDescent="0.35">
      <c r="A765"/>
      <c r="B765"/>
      <c r="C765" t="s">
        <v>5930</v>
      </c>
      <c r="D765"/>
      <c r="E765"/>
    </row>
    <row r="766" spans="1:5" ht="12.75" customHeight="1" x14ac:dyDescent="0.35">
      <c r="A766"/>
      <c r="B766"/>
      <c r="C766" t="s">
        <v>5929</v>
      </c>
      <c r="D766"/>
      <c r="E766"/>
    </row>
    <row r="767" spans="1:5" ht="12.75" customHeight="1" x14ac:dyDescent="0.35">
      <c r="A767"/>
      <c r="B767"/>
      <c r="C767" t="s">
        <v>4065</v>
      </c>
      <c r="D767"/>
      <c r="E767"/>
    </row>
    <row r="768" spans="1:5" ht="12.75" customHeight="1" x14ac:dyDescent="0.35">
      <c r="A768"/>
      <c r="B768"/>
      <c r="C768" t="s">
        <v>5931</v>
      </c>
      <c r="D768"/>
      <c r="E768"/>
    </row>
    <row r="769" spans="1:5" ht="12.75" customHeight="1" x14ac:dyDescent="0.35">
      <c r="A769"/>
      <c r="B769"/>
      <c r="C769" t="s">
        <v>5932</v>
      </c>
      <c r="D769"/>
      <c r="E769"/>
    </row>
    <row r="770" spans="1:5" ht="12.75" customHeight="1" x14ac:dyDescent="0.35">
      <c r="A770"/>
      <c r="B770"/>
      <c r="C770" t="s">
        <v>5931</v>
      </c>
      <c r="D770"/>
      <c r="E770"/>
    </row>
    <row r="771" spans="1:5" ht="12.75" customHeight="1" x14ac:dyDescent="0.35">
      <c r="A771"/>
      <c r="B771"/>
      <c r="C771" t="s">
        <v>4065</v>
      </c>
      <c r="D771"/>
      <c r="E771"/>
    </row>
    <row r="772" spans="1:5" ht="12.75" customHeight="1" x14ac:dyDescent="0.35">
      <c r="A772"/>
      <c r="B772"/>
      <c r="C772" t="s">
        <v>5933</v>
      </c>
      <c r="D772"/>
      <c r="E772"/>
    </row>
    <row r="773" spans="1:5" ht="12.75" customHeight="1" x14ac:dyDescent="0.35">
      <c r="A773"/>
      <c r="B773" t="s">
        <v>5934</v>
      </c>
      <c r="C773"/>
      <c r="D773"/>
      <c r="E773"/>
    </row>
    <row r="774" spans="1:5" ht="12.75" customHeight="1" x14ac:dyDescent="0.35">
      <c r="A774"/>
      <c r="B774"/>
      <c r="C774" t="s">
        <v>5935</v>
      </c>
      <c r="D774"/>
      <c r="E774"/>
    </row>
    <row r="775" spans="1:5" ht="12.75" customHeight="1" x14ac:dyDescent="0.35">
      <c r="A775"/>
      <c r="B775"/>
      <c r="C775" t="s">
        <v>5834</v>
      </c>
      <c r="D775"/>
      <c r="E775"/>
    </row>
    <row r="776" spans="1:5" ht="12.75" customHeight="1" x14ac:dyDescent="0.35">
      <c r="A776"/>
      <c r="B776"/>
      <c r="C776" s="220" t="s">
        <v>6146</v>
      </c>
      <c r="D776"/>
      <c r="E776"/>
    </row>
    <row r="777" spans="1:5" ht="12.75" customHeight="1" x14ac:dyDescent="0.35">
      <c r="A777"/>
      <c r="B777"/>
      <c r="C777" t="s">
        <v>5840</v>
      </c>
      <c r="D777"/>
      <c r="E777"/>
    </row>
    <row r="778" spans="1:5" ht="12.75" customHeight="1" x14ac:dyDescent="0.35">
      <c r="A778"/>
      <c r="B778"/>
      <c r="C778" s="220" t="s">
        <v>6139</v>
      </c>
      <c r="D778"/>
      <c r="E778"/>
    </row>
    <row r="779" spans="1:5" ht="12.75" customHeight="1" x14ac:dyDescent="0.35">
      <c r="A779"/>
      <c r="B779"/>
      <c r="C779" t="s">
        <v>5936</v>
      </c>
      <c r="D779"/>
      <c r="E779"/>
    </row>
    <row r="780" spans="1:5" ht="12.75" customHeight="1" x14ac:dyDescent="0.35">
      <c r="A780"/>
      <c r="B780"/>
      <c r="C780" t="s">
        <v>5937</v>
      </c>
      <c r="D780"/>
      <c r="E780"/>
    </row>
    <row r="781" spans="1:5" ht="12.75" customHeight="1" x14ac:dyDescent="0.35">
      <c r="A781"/>
      <c r="B781" t="s">
        <v>5901</v>
      </c>
      <c r="C781"/>
      <c r="D781"/>
      <c r="E781"/>
    </row>
    <row r="782" spans="1:5" ht="12.75" customHeight="1" x14ac:dyDescent="0.35">
      <c r="A782"/>
      <c r="B782"/>
      <c r="C782"/>
      <c r="D782"/>
      <c r="E782"/>
    </row>
    <row r="783" spans="1:5" ht="12.75" customHeight="1" x14ac:dyDescent="0.35">
      <c r="A783"/>
      <c r="B783"/>
      <c r="C783"/>
      <c r="D783"/>
      <c r="E783"/>
    </row>
    <row r="784" spans="1:5" ht="12.75" customHeight="1" x14ac:dyDescent="0.35">
      <c r="A784"/>
      <c r="B784"/>
      <c r="C784"/>
      <c r="D784"/>
      <c r="E784"/>
    </row>
    <row r="785" spans="1:5" ht="12.75" customHeight="1" x14ac:dyDescent="0.35">
      <c r="A785"/>
      <c r="B785"/>
      <c r="C785"/>
      <c r="D785"/>
      <c r="E785"/>
    </row>
    <row r="786" spans="1:5" ht="12.75" customHeight="1" x14ac:dyDescent="0.35">
      <c r="A786"/>
      <c r="B786"/>
      <c r="C786"/>
      <c r="D786"/>
      <c r="E786"/>
    </row>
    <row r="787" spans="1:5" ht="12.75" customHeight="1" x14ac:dyDescent="0.35">
      <c r="A787"/>
      <c r="B787"/>
      <c r="C787"/>
      <c r="D787"/>
      <c r="E787"/>
    </row>
    <row r="788" spans="1:5" ht="12.75" customHeight="1" x14ac:dyDescent="0.35">
      <c r="A788"/>
      <c r="B788"/>
      <c r="C788"/>
      <c r="D788"/>
      <c r="E788"/>
    </row>
    <row r="789" spans="1:5" ht="12.75" customHeight="1" x14ac:dyDescent="0.35">
      <c r="A789"/>
      <c r="B789"/>
      <c r="C789"/>
      <c r="D789"/>
      <c r="E789"/>
    </row>
    <row r="790" spans="1:5" ht="12.75" customHeight="1" x14ac:dyDescent="0.35">
      <c r="A790"/>
      <c r="B790"/>
      <c r="C790"/>
      <c r="D790"/>
      <c r="E790"/>
    </row>
    <row r="791" spans="1:5" ht="12.75" customHeight="1" x14ac:dyDescent="0.35">
      <c r="A791"/>
      <c r="B791"/>
      <c r="C791"/>
      <c r="D791"/>
      <c r="E791"/>
    </row>
    <row r="792" spans="1:5" ht="12.75" customHeight="1" x14ac:dyDescent="0.35">
      <c r="A792"/>
      <c r="B792"/>
      <c r="C792"/>
      <c r="D792"/>
      <c r="E792"/>
    </row>
    <row r="793" spans="1:5" ht="12.75" customHeight="1" x14ac:dyDescent="0.35">
      <c r="A793"/>
      <c r="B793"/>
      <c r="C793"/>
      <c r="D793"/>
      <c r="E793"/>
    </row>
    <row r="794" spans="1:5" ht="12.75" customHeight="1" x14ac:dyDescent="0.35">
      <c r="A794"/>
      <c r="B794" t="s">
        <v>5938</v>
      </c>
      <c r="C794"/>
      <c r="D794"/>
      <c r="E794"/>
    </row>
    <row r="795" spans="1:5" ht="12.75" customHeight="1" x14ac:dyDescent="0.35">
      <c r="A795"/>
      <c r="B795" t="s">
        <v>5939</v>
      </c>
      <c r="C795"/>
      <c r="D795"/>
      <c r="E795"/>
    </row>
    <row r="796" spans="1:5" ht="12.75" customHeight="1" x14ac:dyDescent="0.35">
      <c r="A796"/>
      <c r="B796" t="s">
        <v>5940</v>
      </c>
      <c r="C796"/>
      <c r="D796"/>
      <c r="E796"/>
    </row>
    <row r="797" spans="1:5" ht="12.75" customHeight="1" x14ac:dyDescent="0.35">
      <c r="A797"/>
      <c r="B797"/>
      <c r="C797"/>
      <c r="D797"/>
      <c r="E797"/>
    </row>
    <row r="798" spans="1:5" ht="12.75" customHeight="1" x14ac:dyDescent="0.35">
      <c r="A798"/>
      <c r="B798" t="s">
        <v>5941</v>
      </c>
      <c r="C798"/>
      <c r="D798"/>
      <c r="E798"/>
    </row>
    <row r="799" spans="1:5" ht="12.75" customHeight="1" x14ac:dyDescent="0.35">
      <c r="A799"/>
      <c r="B799" t="s">
        <v>5942</v>
      </c>
      <c r="C799"/>
      <c r="D799"/>
      <c r="E799"/>
    </row>
    <row r="800" spans="1:5" ht="12.75" customHeight="1" x14ac:dyDescent="0.35">
      <c r="A800"/>
      <c r="B800"/>
      <c r="C800" t="s">
        <v>5754</v>
      </c>
      <c r="D800"/>
      <c r="E800"/>
    </row>
    <row r="801" spans="1:5" ht="12.75" customHeight="1" x14ac:dyDescent="0.35">
      <c r="A801"/>
      <c r="B801"/>
      <c r="C801" t="s">
        <v>5755</v>
      </c>
      <c r="D801"/>
      <c r="E801"/>
    </row>
    <row r="802" spans="1:5" ht="12.75" customHeight="1" x14ac:dyDescent="0.35">
      <c r="A802"/>
      <c r="B802"/>
      <c r="C802" t="s">
        <v>5943</v>
      </c>
      <c r="D802"/>
      <c r="E802"/>
    </row>
    <row r="803" spans="1:5" ht="12.75" customHeight="1" x14ac:dyDescent="0.35">
      <c r="A803"/>
      <c r="B803"/>
      <c r="C803" t="s">
        <v>5944</v>
      </c>
      <c r="D803"/>
      <c r="E803"/>
    </row>
    <row r="804" spans="1:5" ht="12.75" customHeight="1" x14ac:dyDescent="0.35">
      <c r="A804"/>
      <c r="B804"/>
      <c r="C804" t="s">
        <v>5945</v>
      </c>
      <c r="D804"/>
      <c r="E804"/>
    </row>
    <row r="805" spans="1:5" ht="12.75" customHeight="1" x14ac:dyDescent="0.35">
      <c r="A805"/>
      <c r="B805"/>
      <c r="C805" t="s">
        <v>5946</v>
      </c>
      <c r="D805"/>
      <c r="E805"/>
    </row>
    <row r="806" spans="1:5" ht="12.75" customHeight="1" x14ac:dyDescent="0.35">
      <c r="A806"/>
      <c r="B806" t="s">
        <v>5947</v>
      </c>
      <c r="C806"/>
      <c r="D806"/>
      <c r="E806"/>
    </row>
    <row r="807" spans="1:5" ht="12.75" customHeight="1" x14ac:dyDescent="0.35">
      <c r="A807"/>
      <c r="B807" t="s">
        <v>5948</v>
      </c>
      <c r="C807"/>
      <c r="D807"/>
      <c r="E807"/>
    </row>
    <row r="808" spans="1:5" ht="12.75" customHeight="1" x14ac:dyDescent="0.35">
      <c r="A808"/>
      <c r="B808" t="s">
        <v>5807</v>
      </c>
      <c r="C808"/>
      <c r="D808"/>
      <c r="E808"/>
    </row>
    <row r="809" spans="1:5" ht="12.75" customHeight="1" x14ac:dyDescent="0.35">
      <c r="A809"/>
      <c r="B809" t="s">
        <v>5949</v>
      </c>
      <c r="C809"/>
      <c r="D809"/>
      <c r="E809"/>
    </row>
    <row r="810" spans="1:5" ht="12.75" customHeight="1" x14ac:dyDescent="0.35">
      <c r="A810"/>
      <c r="B810"/>
      <c r="C810" t="s">
        <v>5950</v>
      </c>
      <c r="D810"/>
      <c r="E810"/>
    </row>
    <row r="811" spans="1:5" ht="12.75" customHeight="1" x14ac:dyDescent="0.35">
      <c r="A811"/>
      <c r="B811"/>
      <c r="C811" t="s">
        <v>5772</v>
      </c>
      <c r="D811"/>
      <c r="E811"/>
    </row>
    <row r="812" spans="1:5" ht="12.75" customHeight="1" x14ac:dyDescent="0.35">
      <c r="A812"/>
      <c r="B812"/>
      <c r="C812" s="220" t="s">
        <v>6147</v>
      </c>
      <c r="D812"/>
      <c r="E812"/>
    </row>
    <row r="813" spans="1:5" ht="12.75" customHeight="1" x14ac:dyDescent="0.35">
      <c r="A813"/>
      <c r="B813"/>
      <c r="C813" t="s">
        <v>5951</v>
      </c>
      <c r="D813"/>
      <c r="E813"/>
    </row>
    <row r="814" spans="1:5" ht="12.75" customHeight="1" x14ac:dyDescent="0.35">
      <c r="A814"/>
      <c r="B814"/>
      <c r="C814" t="s">
        <v>5952</v>
      </c>
      <c r="D814"/>
      <c r="E814"/>
    </row>
    <row r="815" spans="1:5" ht="12.75" customHeight="1" x14ac:dyDescent="0.35">
      <c r="A815"/>
      <c r="B815"/>
      <c r="C815" t="s">
        <v>5875</v>
      </c>
      <c r="D815"/>
      <c r="E815"/>
    </row>
    <row r="816" spans="1:5" ht="12.75" customHeight="1" x14ac:dyDescent="0.35">
      <c r="A816"/>
      <c r="B816"/>
      <c r="C816" t="s">
        <v>5953</v>
      </c>
      <c r="D816"/>
      <c r="E816"/>
    </row>
    <row r="817" spans="1:5" ht="12.75" customHeight="1" x14ac:dyDescent="0.35">
      <c r="A817"/>
      <c r="B817"/>
      <c r="C817" t="s">
        <v>5954</v>
      </c>
      <c r="D817"/>
      <c r="E817"/>
    </row>
    <row r="818" spans="1:5" ht="12.75" customHeight="1" x14ac:dyDescent="0.35">
      <c r="A818"/>
      <c r="B818"/>
      <c r="C818" t="s">
        <v>5955</v>
      </c>
      <c r="D818"/>
      <c r="E818"/>
    </row>
    <row r="819" spans="1:5" ht="12.75" customHeight="1" x14ac:dyDescent="0.35">
      <c r="A819"/>
      <c r="B819"/>
      <c r="C819" t="s">
        <v>5956</v>
      </c>
      <c r="D819"/>
      <c r="E819"/>
    </row>
    <row r="820" spans="1:5" ht="12.75" customHeight="1" x14ac:dyDescent="0.35">
      <c r="A820"/>
      <c r="B820"/>
      <c r="C820" t="s">
        <v>5957</v>
      </c>
      <c r="D820"/>
      <c r="E820"/>
    </row>
    <row r="821" spans="1:5" ht="12.75" customHeight="1" x14ac:dyDescent="0.35">
      <c r="A821"/>
      <c r="B821"/>
      <c r="C821" t="s">
        <v>5958</v>
      </c>
      <c r="D821"/>
      <c r="E821"/>
    </row>
    <row r="822" spans="1:5" ht="12.75" customHeight="1" x14ac:dyDescent="0.35">
      <c r="A822"/>
      <c r="B822"/>
      <c r="C822" s="220" t="s">
        <v>6141</v>
      </c>
      <c r="D822"/>
      <c r="E822"/>
    </row>
    <row r="823" spans="1:5" ht="12.75" customHeight="1" x14ac:dyDescent="0.35">
      <c r="A823"/>
      <c r="B823"/>
      <c r="C823" t="s">
        <v>5959</v>
      </c>
      <c r="D823"/>
      <c r="E823"/>
    </row>
    <row r="824" spans="1:5" ht="12.75" customHeight="1" x14ac:dyDescent="0.35">
      <c r="A824"/>
      <c r="B824"/>
      <c r="C824" s="116" t="s">
        <v>6159</v>
      </c>
      <c r="D824"/>
      <c r="E824"/>
    </row>
    <row r="825" spans="1:5" ht="12.75" customHeight="1" x14ac:dyDescent="0.35">
      <c r="A825"/>
      <c r="B825"/>
      <c r="C825" t="s">
        <v>5960</v>
      </c>
      <c r="D825"/>
      <c r="E825"/>
    </row>
    <row r="826" spans="1:5" ht="12.75" customHeight="1" x14ac:dyDescent="0.35">
      <c r="A826"/>
      <c r="B826"/>
      <c r="C826" t="s">
        <v>5961</v>
      </c>
      <c r="D826"/>
      <c r="E826"/>
    </row>
    <row r="827" spans="1:5" ht="12.75" customHeight="1" x14ac:dyDescent="0.35">
      <c r="A827"/>
      <c r="B827"/>
      <c r="C827" t="s">
        <v>5962</v>
      </c>
      <c r="D827"/>
      <c r="E827"/>
    </row>
    <row r="828" spans="1:5" ht="12.75" customHeight="1" x14ac:dyDescent="0.35">
      <c r="A828"/>
      <c r="B828" t="s">
        <v>5963</v>
      </c>
      <c r="C828"/>
      <c r="D828"/>
      <c r="E828"/>
    </row>
    <row r="829" spans="1:5" ht="12.75" customHeight="1" x14ac:dyDescent="0.35">
      <c r="A829"/>
      <c r="B829" t="s">
        <v>5964</v>
      </c>
      <c r="C829"/>
      <c r="D829"/>
      <c r="E829"/>
    </row>
    <row r="830" spans="1:5" ht="12.75" customHeight="1" x14ac:dyDescent="0.35">
      <c r="A830"/>
      <c r="B830" t="s">
        <v>5965</v>
      </c>
      <c r="C830"/>
      <c r="D830"/>
      <c r="E830"/>
    </row>
    <row r="831" spans="1:5" ht="12.75" customHeight="1" x14ac:dyDescent="0.35">
      <c r="A831"/>
      <c r="B831" t="s">
        <v>5966</v>
      </c>
      <c r="C831"/>
      <c r="D831"/>
      <c r="E831"/>
    </row>
    <row r="832" spans="1:5" ht="12.75" customHeight="1" x14ac:dyDescent="0.35">
      <c r="A832"/>
      <c r="B832" t="s">
        <v>5967</v>
      </c>
      <c r="C832"/>
      <c r="D832"/>
      <c r="E832"/>
    </row>
    <row r="833" spans="1:5" ht="12.75" customHeight="1" x14ac:dyDescent="0.35">
      <c r="A833"/>
      <c r="B833" t="s">
        <v>5968</v>
      </c>
      <c r="C833"/>
      <c r="D833"/>
      <c r="E833"/>
    </row>
    <row r="834" spans="1:5" ht="12.75" customHeight="1" x14ac:dyDescent="0.35">
      <c r="A834"/>
      <c r="B834" t="s">
        <v>5969</v>
      </c>
      <c r="C834"/>
      <c r="D834"/>
      <c r="E834"/>
    </row>
    <row r="835" spans="1:5" ht="12.75" customHeight="1" x14ac:dyDescent="0.35">
      <c r="A835"/>
      <c r="B835" t="s">
        <v>5970</v>
      </c>
      <c r="C835"/>
      <c r="D835"/>
      <c r="E835"/>
    </row>
    <row r="836" spans="1:5" ht="12.75" customHeight="1" x14ac:dyDescent="0.35">
      <c r="A836"/>
      <c r="B836" t="s">
        <v>5971</v>
      </c>
      <c r="C836"/>
      <c r="D836"/>
      <c r="E836"/>
    </row>
    <row r="837" spans="1:5" ht="12.75" customHeight="1" x14ac:dyDescent="0.35">
      <c r="A837"/>
      <c r="B837"/>
      <c r="C837"/>
      <c r="D837"/>
      <c r="E837"/>
    </row>
    <row r="838" spans="1:5" ht="12.75" customHeight="1" x14ac:dyDescent="0.35">
      <c r="A838"/>
      <c r="B838" t="s">
        <v>5972</v>
      </c>
      <c r="C838"/>
      <c r="D838"/>
      <c r="E838"/>
    </row>
    <row r="839" spans="1:5" ht="12.75" customHeight="1" x14ac:dyDescent="0.35">
      <c r="A839"/>
      <c r="B839" t="s">
        <v>5973</v>
      </c>
      <c r="C839"/>
      <c r="D839"/>
      <c r="E839"/>
    </row>
    <row r="840" spans="1:5" ht="12.75" customHeight="1" x14ac:dyDescent="0.35">
      <c r="A840"/>
      <c r="B840" t="s">
        <v>5881</v>
      </c>
      <c r="C840"/>
      <c r="D840"/>
      <c r="E840"/>
    </row>
    <row r="841" spans="1:5" ht="12.75" customHeight="1" x14ac:dyDescent="0.35">
      <c r="A841"/>
      <c r="B841" t="s">
        <v>5974</v>
      </c>
      <c r="C841"/>
      <c r="D841"/>
      <c r="E841"/>
    </row>
    <row r="842" spans="1:5" ht="12.75" customHeight="1" x14ac:dyDescent="0.35">
      <c r="A842"/>
      <c r="B842"/>
      <c r="C842"/>
      <c r="D842"/>
      <c r="E842"/>
    </row>
    <row r="843" spans="1:5" ht="12.75" customHeight="1" x14ac:dyDescent="0.35">
      <c r="A843"/>
      <c r="B843"/>
      <c r="C843"/>
      <c r="D843"/>
      <c r="E843"/>
    </row>
    <row r="844" spans="1:5" ht="12.75" customHeight="1" x14ac:dyDescent="0.35">
      <c r="A844"/>
      <c r="B844"/>
      <c r="C844"/>
      <c r="D844"/>
      <c r="E844"/>
    </row>
    <row r="845" spans="1:5" ht="12.75" customHeight="1" x14ac:dyDescent="0.35">
      <c r="A845"/>
      <c r="B845" t="s">
        <v>5975</v>
      </c>
      <c r="C845"/>
      <c r="D845"/>
      <c r="E845"/>
    </row>
    <row r="846" spans="1:5" ht="12.75" customHeight="1" x14ac:dyDescent="0.35">
      <c r="A846"/>
      <c r="B846"/>
      <c r="C846"/>
      <c r="D846"/>
      <c r="E846"/>
    </row>
    <row r="847" spans="1:5" ht="12.75" customHeight="1" x14ac:dyDescent="0.35">
      <c r="A847"/>
      <c r="B847" t="s">
        <v>5736</v>
      </c>
      <c r="C847"/>
      <c r="D847"/>
      <c r="E847"/>
    </row>
    <row r="848" spans="1:5" x14ac:dyDescent="0.35">
      <c r="A848"/>
      <c r="B848"/>
      <c r="C848"/>
      <c r="D848"/>
      <c r="E848"/>
    </row>
    <row r="849" spans="1:5" x14ac:dyDescent="0.35">
      <c r="A849"/>
      <c r="B849"/>
      <c r="C849"/>
      <c r="D849"/>
      <c r="E849"/>
    </row>
    <row r="850" spans="1:5" x14ac:dyDescent="0.35">
      <c r="A850"/>
      <c r="B850"/>
      <c r="C850"/>
      <c r="D850"/>
      <c r="E850"/>
    </row>
    <row r="851" spans="1:5" x14ac:dyDescent="0.35">
      <c r="A851"/>
      <c r="B851"/>
      <c r="C851"/>
      <c r="D851"/>
      <c r="E851"/>
    </row>
    <row r="852" spans="1:5" x14ac:dyDescent="0.35">
      <c r="A852"/>
      <c r="B852"/>
      <c r="C852"/>
      <c r="D852"/>
      <c r="E852"/>
    </row>
    <row r="853" spans="1:5" x14ac:dyDescent="0.35">
      <c r="A853"/>
      <c r="B853"/>
      <c r="C853"/>
      <c r="D853"/>
      <c r="E853"/>
    </row>
    <row r="854" spans="1:5" x14ac:dyDescent="0.35">
      <c r="A854"/>
      <c r="B854"/>
      <c r="C854"/>
      <c r="D854"/>
      <c r="E854"/>
    </row>
    <row r="855" spans="1:5" x14ac:dyDescent="0.35">
      <c r="A855"/>
      <c r="B855"/>
      <c r="C855"/>
      <c r="D855"/>
      <c r="E855"/>
    </row>
    <row r="856" spans="1:5" x14ac:dyDescent="0.35">
      <c r="A856"/>
      <c r="B856"/>
      <c r="C856"/>
      <c r="D856"/>
      <c r="E856"/>
    </row>
  </sheetData>
  <printOptions gridLines="1"/>
  <pageMargins left="0.75" right="0.75" top="1" bottom="1" header="0.5" footer="0.5"/>
  <pageSetup paperSize="9" orientation="portrait" r:id="rId1"/>
  <headerFooter>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6"/>
  <dimension ref="A1:T22"/>
  <sheetViews>
    <sheetView showGridLines="0" showRowColHeaders="0" zoomScaleNormal="100" workbookViewId="0">
      <pane xSplit="8" ySplit="4" topLeftCell="I5" activePane="bottomRight" state="frozen"/>
      <selection pane="topRight" activeCell="F1" sqref="F1"/>
      <selection pane="bottomLeft" activeCell="A5" sqref="A5"/>
      <selection pane="bottomRight" activeCell="C5" sqref="C5"/>
    </sheetView>
  </sheetViews>
  <sheetFormatPr defaultColWidth="9.1796875" defaultRowHeight="14.25" customHeight="1" x14ac:dyDescent="0.2"/>
  <cols>
    <col min="1" max="6" width="8.7265625" style="147" hidden="1" customWidth="1"/>
    <col min="7" max="7" width="36.1796875" style="147" customWidth="1"/>
    <col min="8" max="8" width="11.81640625" style="146" hidden="1" customWidth="1"/>
    <col min="9" max="10" width="14.7265625" style="148" hidden="1" customWidth="1"/>
    <col min="11" max="20" width="14.7265625" style="148" customWidth="1"/>
    <col min="21" max="16384" width="9.1796875" style="148"/>
  </cols>
  <sheetData>
    <row r="1" spans="1:20" s="146" customFormat="1" ht="13" customHeight="1" x14ac:dyDescent="0.3">
      <c r="A1" s="620" t="s">
        <v>5140</v>
      </c>
      <c r="B1" s="620"/>
      <c r="C1" s="620"/>
      <c r="D1" s="621"/>
      <c r="E1" s="621"/>
      <c r="F1" s="621"/>
      <c r="G1" s="622"/>
      <c r="H1" s="622"/>
      <c r="I1" s="622">
        <v>1</v>
      </c>
      <c r="J1" s="622">
        <v>2</v>
      </c>
      <c r="K1" s="622">
        <v>3</v>
      </c>
      <c r="L1" s="622">
        <v>4</v>
      </c>
      <c r="M1" s="622">
        <v>5</v>
      </c>
      <c r="N1" s="622">
        <v>6</v>
      </c>
      <c r="O1" s="622">
        <v>7</v>
      </c>
      <c r="P1" s="622">
        <v>8</v>
      </c>
      <c r="Q1" s="622">
        <v>9</v>
      </c>
      <c r="R1" s="622">
        <v>10</v>
      </c>
      <c r="S1" s="622">
        <v>11</v>
      </c>
      <c r="T1" s="622">
        <v>12</v>
      </c>
    </row>
    <row r="2" spans="1:20" s="146" customFormat="1" ht="13" customHeight="1" x14ac:dyDescent="0.3">
      <c r="A2" s="620"/>
      <c r="B2" s="620"/>
      <c r="C2" s="620"/>
      <c r="D2" s="621"/>
      <c r="E2" s="621"/>
      <c r="F2" s="621"/>
      <c r="G2" s="622"/>
      <c r="H2" s="622"/>
      <c r="I2" s="623" t="s">
        <v>6216</v>
      </c>
      <c r="J2" s="623" t="s">
        <v>6383</v>
      </c>
      <c r="K2" s="623" t="s">
        <v>6383</v>
      </c>
      <c r="L2" s="623" t="s">
        <v>6385</v>
      </c>
      <c r="M2" s="623" t="s">
        <v>6387</v>
      </c>
      <c r="N2" s="623" t="s">
        <v>6218</v>
      </c>
      <c r="O2" s="623" t="s">
        <v>6220</v>
      </c>
      <c r="P2" s="623" t="s">
        <v>6222</v>
      </c>
      <c r="Q2" s="623" t="s">
        <v>6224</v>
      </c>
      <c r="R2" s="623" t="s">
        <v>6389</v>
      </c>
      <c r="S2" s="623" t="s">
        <v>6391</v>
      </c>
      <c r="T2" s="623" t="s">
        <v>6391</v>
      </c>
    </row>
    <row r="3" spans="1:20" s="147" customFormat="1" ht="14.25" customHeight="1" x14ac:dyDescent="0.3">
      <c r="A3" s="624" t="s">
        <v>5141</v>
      </c>
      <c r="B3" s="625" t="s">
        <v>5142</v>
      </c>
      <c r="C3" s="625" t="s">
        <v>5143</v>
      </c>
      <c r="D3" s="626"/>
      <c r="E3" s="626"/>
      <c r="F3" s="627"/>
      <c r="G3" s="785" t="str">
        <f ca="1">UPPER(ElimTxt)</f>
        <v>ELIMINATION</v>
      </c>
      <c r="H3" s="1195" t="s">
        <v>5144</v>
      </c>
      <c r="I3" s="338" t="str">
        <f ca="1">""&amp;OFFSET(Calculations!$E$16,0,I1)</f>
        <v>12/2018</v>
      </c>
      <c r="J3" s="339" t="str">
        <f ca="1">""&amp;OFFSET(Calculations!$E$16,0,J1)</f>
        <v>9/2019</v>
      </c>
      <c r="K3" s="340" t="str">
        <f ca="1">""&amp;OFFSET(Calculations!$E$16,0,K1)</f>
        <v>9/2019</v>
      </c>
      <c r="L3" s="340" t="str">
        <f ca="1">""&amp;OFFSET(Calculations!$E$16,0,L1)</f>
        <v>10/2019</v>
      </c>
      <c r="M3" s="340" t="str">
        <f ca="1">""&amp;OFFSET(Calculations!$E$16,0,M1)</f>
        <v>11/2019</v>
      </c>
      <c r="N3" s="340" t="str">
        <f ca="1">""&amp;OFFSET(Calculations!$E$16,0,N1)</f>
        <v>12/2019</v>
      </c>
      <c r="O3" s="340" t="str">
        <f ca="1">""&amp;OFFSET(Calculations!$E$16,0,O1)</f>
        <v>12/2020</v>
      </c>
      <c r="P3" s="340" t="str">
        <f ca="1">""&amp;OFFSET(Calculations!$E$16,0,P1)</f>
        <v>12/2021</v>
      </c>
      <c r="Q3" s="340" t="str">
        <f ca="1">""&amp;OFFSET(Calculations!$E$16,0,Q1)</f>
        <v>12/2022</v>
      </c>
      <c r="R3" s="340" t="str">
        <f ca="1">""&amp;OFFSET(Calculations!$E$16,0,R1)</f>
        <v>12/2023</v>
      </c>
      <c r="S3" s="340" t="str">
        <f ca="1">""&amp;OFFSET(Calculations!$E$16,0,S1)</f>
        <v>12/2024</v>
      </c>
      <c r="T3" s="339" t="str">
        <f ca="1">SpecsTxt!$F$12</f>
        <v>Residual</v>
      </c>
    </row>
    <row r="4" spans="1:20" s="147" customFormat="1" ht="14.25" customHeight="1" x14ac:dyDescent="0.3">
      <c r="A4" s="628"/>
      <c r="B4" s="626"/>
      <c r="C4" s="626"/>
      <c r="D4" s="626"/>
      <c r="E4" s="626"/>
      <c r="F4" s="629" t="str">
        <f ca="1">GroupTxt</f>
        <v>Group</v>
      </c>
      <c r="G4" s="630" t="str">
        <f>Calculations!$B$17</f>
        <v>Months per interval</v>
      </c>
      <c r="H4" s="643" t="s">
        <v>5145</v>
      </c>
      <c r="I4" s="631" t="str">
        <f ca="1">""&amp;OFFSET(Calculations!$E$17,0,I1)</f>
        <v>12</v>
      </c>
      <c r="J4" s="631" t="str">
        <f ca="1">""&amp;OFFSET(Calculations!$E$17,0,J1)</f>
        <v/>
      </c>
      <c r="K4" s="631" t="str">
        <f ca="1">""&amp;OFFSET(Calculations!$E$17,0,K1)</f>
        <v>1</v>
      </c>
      <c r="L4" s="631" t="str">
        <f ca="1">""&amp;OFFSET(Calculations!$E$17,0,L1)</f>
        <v>1</v>
      </c>
      <c r="M4" s="631" t="str">
        <f ca="1">""&amp;OFFSET(Calculations!$E$17,0,M1)</f>
        <v>1</v>
      </c>
      <c r="N4" s="631" t="str">
        <f ca="1">""&amp;OFFSET(Calculations!$E$17,0,N1)</f>
        <v>1</v>
      </c>
      <c r="O4" s="631" t="str">
        <f ca="1">""&amp;OFFSET(Calculations!$E$17,0,O1)</f>
        <v>12</v>
      </c>
      <c r="P4" s="631" t="str">
        <f ca="1">""&amp;OFFSET(Calculations!$E$17,0,P1)</f>
        <v>12</v>
      </c>
      <c r="Q4" s="631" t="str">
        <f ca="1">""&amp;OFFSET(Calculations!$E$17,0,Q1)</f>
        <v>12</v>
      </c>
      <c r="R4" s="631" t="str">
        <f ca="1">""&amp;OFFSET(Calculations!$E$17,0,R1)</f>
        <v>12</v>
      </c>
      <c r="S4" s="631" t="str">
        <f ca="1">""&amp;OFFSET(Calculations!$E$17,0,S1)</f>
        <v>12</v>
      </c>
      <c r="T4" s="631" t="str">
        <f ca="1">""&amp;OFFSET(Calculations!$E$17,0,T1)</f>
        <v>(12/2024)</v>
      </c>
    </row>
    <row r="5" spans="1:20" ht="14.25" hidden="1" customHeight="1" x14ac:dyDescent="0.35">
      <c r="A5" s="632"/>
      <c r="B5" s="632"/>
      <c r="C5" s="632"/>
      <c r="D5" s="632"/>
      <c r="E5" s="632"/>
      <c r="F5" s="633"/>
      <c r="G5" s="634"/>
      <c r="H5" s="635"/>
      <c r="I5" s="636"/>
      <c r="J5" s="637"/>
      <c r="K5" s="637"/>
      <c r="L5" s="637"/>
      <c r="M5" s="637"/>
      <c r="N5" s="637"/>
      <c r="O5" s="637"/>
      <c r="P5" s="637"/>
      <c r="Q5" s="637"/>
      <c r="R5" s="637"/>
      <c r="S5" s="637"/>
      <c r="T5" s="637"/>
    </row>
    <row r="6" spans="1:20" ht="14.25" hidden="1" customHeight="1" x14ac:dyDescent="0.35">
      <c r="A6" s="632"/>
      <c r="B6" s="632"/>
      <c r="C6" s="632"/>
      <c r="D6" s="632"/>
      <c r="E6" s="632"/>
      <c r="F6" s="638"/>
      <c r="G6" s="639" t="str">
        <f ca="1">ElimTxt</f>
        <v>Elimination</v>
      </c>
      <c r="H6" s="640"/>
      <c r="I6" s="639"/>
      <c r="J6" s="639"/>
      <c r="K6" s="641"/>
      <c r="L6" s="641"/>
      <c r="M6" s="641"/>
      <c r="N6" s="639"/>
      <c r="O6" s="639"/>
      <c r="P6" s="639"/>
      <c r="Q6" s="639"/>
      <c r="R6" s="639"/>
      <c r="S6" s="639"/>
      <c r="T6" s="639"/>
    </row>
    <row r="7" spans="1:20" ht="14.25" hidden="1" customHeight="1" x14ac:dyDescent="0.35">
      <c r="A7" s="632"/>
      <c r="B7" s="632"/>
      <c r="C7" s="632"/>
      <c r="D7" s="632"/>
      <c r="E7" s="632"/>
      <c r="F7" s="642"/>
      <c r="G7" s="643" t="str">
        <f ca="1">ConsTxt&amp;" "&amp;G5</f>
        <v xml:space="preserve">Consolidated </v>
      </c>
      <c r="H7" s="643"/>
      <c r="I7" s="644"/>
      <c r="J7" s="644"/>
      <c r="K7" s="644"/>
      <c r="L7" s="644"/>
      <c r="M7" s="644"/>
      <c r="N7" s="644"/>
      <c r="O7" s="644"/>
      <c r="P7" s="644"/>
      <c r="Q7" s="644"/>
      <c r="R7" s="644"/>
      <c r="S7" s="644"/>
      <c r="T7" s="644"/>
    </row>
    <row r="8" spans="1:20" ht="14.25" customHeight="1" x14ac:dyDescent="0.35">
      <c r="A8" s="645"/>
      <c r="B8" s="645"/>
      <c r="C8" s="645"/>
      <c r="D8" s="645"/>
      <c r="E8" s="645"/>
      <c r="F8" s="645"/>
      <c r="G8" s="645"/>
      <c r="H8" s="645"/>
      <c r="I8" s="645"/>
      <c r="J8" s="645"/>
      <c r="K8" s="645"/>
      <c r="L8" s="645"/>
      <c r="M8" s="645"/>
      <c r="N8" s="645"/>
      <c r="O8" s="645"/>
      <c r="P8" s="645"/>
      <c r="Q8" s="645"/>
      <c r="R8" s="645"/>
      <c r="S8" s="645"/>
      <c r="T8" s="645"/>
    </row>
    <row r="9" spans="1:20" ht="14.25" customHeight="1" x14ac:dyDescent="0.35">
      <c r="A9" s="645"/>
      <c r="B9" s="645"/>
      <c r="C9" s="645"/>
      <c r="D9" s="645"/>
      <c r="E9" s="645"/>
      <c r="F9" s="645"/>
      <c r="G9" s="645"/>
      <c r="H9" s="645"/>
      <c r="I9" s="645"/>
      <c r="J9" s="645"/>
      <c r="K9" s="645"/>
      <c r="L9" s="645"/>
      <c r="M9" s="645"/>
      <c r="N9" s="645"/>
      <c r="O9" s="645"/>
      <c r="P9" s="645"/>
      <c r="Q9" s="645"/>
      <c r="R9" s="645"/>
      <c r="S9" s="645"/>
      <c r="T9" s="645"/>
    </row>
    <row r="10" spans="1:20" ht="14.25" customHeight="1" x14ac:dyDescent="0.35">
      <c r="A10" s="645"/>
      <c r="B10" s="645"/>
      <c r="C10" s="645"/>
      <c r="D10" s="645"/>
      <c r="E10" s="645"/>
      <c r="F10" s="645"/>
      <c r="G10" s="645"/>
      <c r="H10" s="645"/>
      <c r="I10" s="645"/>
      <c r="J10" s="645"/>
      <c r="K10" s="645"/>
      <c r="L10" s="645"/>
      <c r="M10" s="645"/>
      <c r="N10" s="645"/>
      <c r="O10" s="645"/>
      <c r="P10" s="645"/>
      <c r="Q10" s="645"/>
      <c r="R10" s="645"/>
      <c r="S10" s="645"/>
      <c r="T10" s="645"/>
    </row>
    <row r="11" spans="1:20" ht="14.25" customHeight="1" x14ac:dyDescent="0.35">
      <c r="A11" s="645"/>
      <c r="B11" s="645"/>
      <c r="C11" s="645"/>
      <c r="D11" s="645"/>
      <c r="E11" s="645"/>
      <c r="F11" s="645"/>
      <c r="G11" s="645"/>
      <c r="H11" s="645"/>
      <c r="I11" s="645"/>
      <c r="J11" s="645"/>
      <c r="K11" s="645"/>
      <c r="L11" s="645"/>
      <c r="M11" s="645"/>
      <c r="N11" s="645"/>
      <c r="O11" s="645"/>
      <c r="P11" s="645"/>
      <c r="Q11" s="645"/>
      <c r="R11" s="645"/>
      <c r="S11" s="645"/>
      <c r="T11" s="645"/>
    </row>
    <row r="12" spans="1:20" ht="14.25" customHeight="1" x14ac:dyDescent="0.35">
      <c r="A12" s="645"/>
      <c r="B12" s="645"/>
      <c r="C12" s="645"/>
      <c r="D12" s="645"/>
      <c r="E12" s="645"/>
      <c r="F12" s="645"/>
      <c r="G12" s="645"/>
      <c r="H12" s="645"/>
      <c r="I12" s="645"/>
      <c r="J12" s="645"/>
      <c r="K12" s="645"/>
      <c r="L12" s="645"/>
      <c r="M12" s="645"/>
      <c r="N12" s="645"/>
      <c r="O12" s="645"/>
      <c r="P12" s="645"/>
      <c r="Q12" s="645"/>
      <c r="R12" s="645"/>
      <c r="S12" s="645"/>
      <c r="T12" s="645"/>
    </row>
    <row r="13" spans="1:20" ht="14.25" customHeight="1" x14ac:dyDescent="0.35">
      <c r="A13" s="645"/>
      <c r="B13" s="645"/>
      <c r="C13" s="645"/>
      <c r="D13" s="645"/>
      <c r="E13" s="645"/>
      <c r="F13" s="645"/>
      <c r="G13" s="645"/>
      <c r="H13" s="645"/>
      <c r="I13" s="645"/>
      <c r="J13" s="645"/>
      <c r="K13" s="645"/>
      <c r="L13" s="645"/>
      <c r="M13" s="645"/>
      <c r="N13" s="645"/>
      <c r="O13" s="645"/>
      <c r="P13" s="645"/>
      <c r="Q13" s="645"/>
      <c r="R13" s="645"/>
      <c r="S13" s="645"/>
      <c r="T13" s="645"/>
    </row>
    <row r="14" spans="1:20" ht="14.25" customHeight="1" x14ac:dyDescent="0.35">
      <c r="A14" s="645"/>
      <c r="B14" s="645"/>
      <c r="C14" s="645"/>
      <c r="D14" s="645"/>
      <c r="E14" s="645"/>
      <c r="F14" s="645"/>
      <c r="G14" s="645"/>
      <c r="H14" s="645"/>
      <c r="I14" s="645"/>
      <c r="J14" s="645"/>
      <c r="K14" s="645"/>
      <c r="L14" s="645"/>
      <c r="M14" s="645"/>
      <c r="N14" s="645"/>
      <c r="O14" s="645"/>
      <c r="P14" s="645"/>
      <c r="Q14" s="645"/>
      <c r="R14" s="645"/>
      <c r="S14" s="645"/>
      <c r="T14" s="645"/>
    </row>
    <row r="15" spans="1:20" ht="14.25" customHeight="1" x14ac:dyDescent="0.35">
      <c r="A15" s="645"/>
      <c r="B15" s="645"/>
      <c r="C15" s="645"/>
      <c r="D15" s="645"/>
      <c r="E15" s="645"/>
      <c r="F15" s="645"/>
      <c r="G15" s="645"/>
      <c r="H15" s="645"/>
      <c r="I15" s="645"/>
      <c r="J15" s="645"/>
      <c r="K15" s="645"/>
      <c r="L15" s="645"/>
      <c r="M15" s="645"/>
      <c r="N15" s="645"/>
      <c r="O15" s="645"/>
      <c r="P15" s="645"/>
      <c r="Q15" s="645"/>
      <c r="R15" s="645"/>
      <c r="S15" s="645"/>
      <c r="T15" s="645"/>
    </row>
    <row r="16" spans="1:20" ht="14.25" customHeight="1" x14ac:dyDescent="0.35">
      <c r="A16" s="645"/>
      <c r="B16" s="645"/>
      <c r="C16" s="645"/>
      <c r="D16" s="645"/>
      <c r="E16" s="645"/>
      <c r="F16" s="645"/>
      <c r="G16" s="645"/>
      <c r="H16" s="645"/>
      <c r="I16" s="645"/>
      <c r="J16" s="645"/>
      <c r="K16" s="645"/>
      <c r="L16" s="645"/>
      <c r="M16" s="645"/>
      <c r="N16" s="645"/>
      <c r="O16" s="645"/>
      <c r="P16" s="645"/>
      <c r="Q16" s="645"/>
      <c r="R16" s="645"/>
      <c r="S16" s="645"/>
      <c r="T16" s="645"/>
    </row>
    <row r="17" spans="1:20" ht="14.25" customHeight="1" x14ac:dyDescent="0.35">
      <c r="A17" s="645"/>
      <c r="B17" s="645"/>
      <c r="C17" s="645"/>
      <c r="D17" s="645"/>
      <c r="E17" s="645"/>
      <c r="F17" s="645"/>
      <c r="G17" s="645"/>
      <c r="H17" s="645"/>
      <c r="I17" s="645"/>
      <c r="J17" s="645"/>
      <c r="K17" s="645"/>
      <c r="L17" s="645"/>
      <c r="M17" s="645"/>
      <c r="N17" s="645"/>
      <c r="O17" s="645"/>
      <c r="P17" s="645"/>
      <c r="Q17" s="645"/>
      <c r="R17" s="645"/>
      <c r="S17" s="645"/>
      <c r="T17" s="645"/>
    </row>
    <row r="18" spans="1:20" ht="14.25" customHeight="1" x14ac:dyDescent="0.35">
      <c r="A18" s="645"/>
      <c r="B18" s="645"/>
      <c r="C18" s="645"/>
      <c r="D18" s="645"/>
      <c r="E18" s="645"/>
      <c r="F18" s="645"/>
      <c r="G18" s="645"/>
      <c r="H18" s="645"/>
      <c r="I18" s="645"/>
      <c r="J18" s="645"/>
      <c r="K18" s="645"/>
      <c r="L18" s="645"/>
      <c r="M18" s="645"/>
      <c r="N18" s="645"/>
      <c r="O18" s="645"/>
      <c r="P18" s="645"/>
      <c r="Q18" s="645"/>
      <c r="R18" s="645"/>
      <c r="S18" s="645"/>
      <c r="T18" s="645"/>
    </row>
    <row r="19" spans="1:20" ht="14.25" customHeight="1" x14ac:dyDescent="0.35">
      <c r="A19" s="645"/>
      <c r="B19" s="645"/>
      <c r="C19" s="645"/>
      <c r="D19" s="645"/>
      <c r="E19" s="645"/>
      <c r="F19" s="645"/>
      <c r="G19" s="645"/>
      <c r="H19" s="645"/>
      <c r="I19" s="645"/>
      <c r="J19" s="645"/>
      <c r="K19" s="645"/>
      <c r="L19" s="645"/>
      <c r="M19" s="645"/>
      <c r="N19" s="645"/>
      <c r="O19" s="645"/>
      <c r="P19" s="645"/>
      <c r="Q19" s="645"/>
      <c r="R19" s="645"/>
      <c r="S19" s="645"/>
      <c r="T19" s="645"/>
    </row>
    <row r="20" spans="1:20" ht="14.25" customHeight="1" x14ac:dyDescent="0.35">
      <c r="A20" s="645"/>
      <c r="B20" s="645"/>
      <c r="C20" s="645"/>
      <c r="D20" s="645"/>
      <c r="E20" s="645"/>
      <c r="F20" s="645"/>
      <c r="G20" s="645"/>
      <c r="H20" s="645"/>
      <c r="I20" s="645"/>
      <c r="J20" s="645"/>
      <c r="K20" s="645"/>
      <c r="L20" s="645"/>
      <c r="M20" s="645"/>
      <c r="N20" s="645"/>
      <c r="O20" s="645"/>
      <c r="P20" s="645"/>
      <c r="Q20" s="645"/>
      <c r="R20" s="645"/>
      <c r="S20" s="645"/>
      <c r="T20" s="645"/>
    </row>
    <row r="21" spans="1:20" ht="14.25" customHeight="1" x14ac:dyDescent="0.35">
      <c r="A21" s="645"/>
      <c r="B21" s="645"/>
      <c r="C21" s="645"/>
      <c r="D21" s="645"/>
      <c r="E21" s="645"/>
      <c r="F21" s="645"/>
      <c r="G21" s="645"/>
      <c r="H21" s="645"/>
      <c r="I21" s="645"/>
      <c r="J21" s="645"/>
      <c r="K21" s="645"/>
      <c r="L21" s="645"/>
      <c r="M21" s="645"/>
      <c r="N21" s="645"/>
      <c r="O21" s="645"/>
      <c r="P21" s="645"/>
      <c r="Q21" s="645"/>
      <c r="R21" s="645"/>
      <c r="S21" s="645"/>
      <c r="T21" s="645"/>
    </row>
    <row r="22" spans="1:20" ht="14.25" customHeight="1" x14ac:dyDescent="0.35">
      <c r="A22" s="645"/>
      <c r="B22" s="645"/>
      <c r="C22" s="645"/>
      <c r="D22" s="645"/>
      <c r="E22" s="645"/>
      <c r="F22" s="645"/>
      <c r="G22" s="645"/>
      <c r="H22" s="645"/>
      <c r="I22" s="645"/>
      <c r="J22" s="645"/>
      <c r="K22" s="645"/>
      <c r="L22" s="645"/>
      <c r="M22" s="645"/>
      <c r="N22" s="645"/>
      <c r="O22" s="645"/>
      <c r="P22" s="645"/>
      <c r="Q22" s="645"/>
      <c r="R22" s="645"/>
      <c r="S22" s="645"/>
      <c r="T22" s="645"/>
    </row>
  </sheetData>
  <sheetProtection algorithmName="SHA-512" hashValue="VtbKT5h3MEqXfqim+gM7zKXM1bzpdJjRtMj7SeOiuDVhOJ+83AjzqfgEhJeSUtFQjYM+cuGCYUBKWMGBo1AQvg==" saltValue="9kcJAR++B/ydhQt/p94k6w==" spinCount="100000" sheet="1" objects="1" scenarios="1" formatCells="0"/>
  <dataValidations disablePrompts="1" count="1">
    <dataValidation type="list" allowBlank="1" showErrorMessage="1" sqref="F8 F17 F5 F20" xr:uid="{00000000-0002-0000-0200-000000000000}">
      <formula1>ElimGroups</formula1>
    </dataValidation>
  </dataValidations>
  <pageMargins left="0.31496062992125984" right="0.31496062992125984" top="0.43307086614173229" bottom="0.39370078740157483" header="0.31496062992125984" footer="0.31496062992125984"/>
  <pageSetup paperSize="143" scale="6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kElimGroups">
              <controlPr defaultSize="0" print="0" autoFill="0" autoLine="0" autoPict="0" macro="[0]!ElimToggleGroups">
                <anchor moveWithCells="1">
                  <from>
                    <xdr:col>6</xdr:col>
                    <xdr:colOff>1543050</xdr:colOff>
                    <xdr:row>0</xdr:row>
                    <xdr:rowOff>12700</xdr:rowOff>
                  </from>
                  <to>
                    <xdr:col>11</xdr:col>
                    <xdr:colOff>685800</xdr:colOff>
                    <xdr:row>1</xdr:row>
                    <xdr:rowOff>88900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pageSetUpPr autoPageBreaks="0"/>
  </sheetPr>
  <dimension ref="A1:O130"/>
  <sheetViews>
    <sheetView topLeftCell="A72" workbookViewId="0">
      <selection activeCell="D120" sqref="D120"/>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1733</v>
      </c>
      <c r="D1" s="28"/>
      <c r="E1" s="28"/>
      <c r="F1" s="28"/>
      <c r="G1" s="28"/>
      <c r="H1" s="28"/>
      <c r="I1" s="28"/>
      <c r="K1" s="28"/>
      <c r="L1" s="28"/>
      <c r="M1" s="28"/>
      <c r="N1" s="28" t="s">
        <v>1734</v>
      </c>
      <c r="O1" s="28" t="s">
        <v>1735</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1737</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1739</v>
      </c>
      <c r="E5" s="28"/>
      <c r="F5" s="28"/>
      <c r="G5" s="28"/>
      <c r="H5" s="28"/>
      <c r="I5" s="28"/>
      <c r="J5" s="28"/>
      <c r="K5" s="28"/>
      <c r="L5" s="28"/>
      <c r="M5" s="28"/>
      <c r="N5" s="28"/>
      <c r="O5" s="28"/>
    </row>
    <row r="6" spans="1:15" ht="12.75" customHeight="1" x14ac:dyDescent="0.35">
      <c r="A6" s="28"/>
      <c r="B6" s="28"/>
      <c r="C6" s="28"/>
      <c r="D6" s="28" t="s">
        <v>1741</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1744</v>
      </c>
      <c r="E8" s="28"/>
      <c r="F8" s="28"/>
      <c r="G8" s="28"/>
      <c r="H8" s="28" t="s">
        <v>1502</v>
      </c>
      <c r="I8" s="28"/>
      <c r="J8" s="28"/>
      <c r="K8" s="28"/>
      <c r="L8" s="28"/>
      <c r="M8" s="28"/>
      <c r="N8" s="28"/>
      <c r="O8" s="28"/>
    </row>
    <row r="9" spans="1:15" ht="12.75" customHeight="1" x14ac:dyDescent="0.35">
      <c r="A9" s="28"/>
      <c r="B9" s="28"/>
      <c r="C9" s="28"/>
      <c r="D9" s="28" t="s">
        <v>1746</v>
      </c>
      <c r="E9" s="28"/>
      <c r="F9" s="28"/>
      <c r="G9" s="28"/>
      <c r="H9" s="28"/>
      <c r="I9" s="28"/>
      <c r="J9" s="28"/>
      <c r="K9" s="28"/>
      <c r="L9" s="28"/>
      <c r="M9" s="28"/>
      <c r="N9" s="28"/>
      <c r="O9" s="28"/>
    </row>
    <row r="10" spans="1:15" ht="12.75" customHeight="1" x14ac:dyDescent="0.35">
      <c r="A10" s="28"/>
      <c r="B10" s="28"/>
      <c r="C10" s="28"/>
      <c r="D10" s="28" t="s">
        <v>1748</v>
      </c>
      <c r="E10" s="28"/>
      <c r="F10" s="28"/>
      <c r="G10" s="28"/>
      <c r="H10" s="28" t="s">
        <v>9</v>
      </c>
      <c r="I10" s="28"/>
      <c r="J10" s="28"/>
      <c r="K10" s="28"/>
      <c r="L10" s="28"/>
      <c r="M10" s="28"/>
      <c r="N10" s="28"/>
      <c r="O10" s="28"/>
    </row>
    <row r="11" spans="1:15" ht="12.75" customHeight="1" x14ac:dyDescent="0.35">
      <c r="A11" s="28"/>
      <c r="B11" s="28"/>
      <c r="C11" s="28"/>
      <c r="D11" s="28" t="s">
        <v>1750</v>
      </c>
      <c r="E11" s="28"/>
      <c r="F11" s="28"/>
      <c r="G11" s="28"/>
      <c r="H11" s="1287" t="str">
        <f>"(In the "&amp;IF(CalcPoint=0,"beginning","end")&amp;" of period)"</f>
        <v>(In the beginning of period)</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1754</v>
      </c>
      <c r="E14" s="28"/>
      <c r="F14" s="28"/>
      <c r="G14" s="28"/>
      <c r="H14" s="28" t="s">
        <v>1755</v>
      </c>
      <c r="I14" s="28"/>
      <c r="J14" s="28"/>
      <c r="K14" s="28"/>
      <c r="L14" s="28"/>
      <c r="M14" s="28"/>
      <c r="N14" s="28"/>
      <c r="O14" s="28"/>
    </row>
    <row r="15" spans="1:15" ht="12.75" customHeight="1" x14ac:dyDescent="0.35">
      <c r="A15" s="28"/>
      <c r="B15" s="28"/>
      <c r="C15" s="28"/>
      <c r="D15" s="28" t="s">
        <v>1550</v>
      </c>
      <c r="E15" s="28"/>
      <c r="F15" s="28"/>
      <c r="G15" s="28"/>
      <c r="H15" s="28"/>
      <c r="I15" s="28"/>
      <c r="J15" s="28"/>
      <c r="K15" s="28"/>
      <c r="L15" s="28"/>
      <c r="M15" s="28"/>
      <c r="N15" s="28"/>
      <c r="O15" s="28"/>
    </row>
    <row r="16" spans="1:15" ht="12.75" customHeight="1" x14ac:dyDescent="0.35">
      <c r="A16" s="28"/>
      <c r="B16" s="28"/>
      <c r="C16" s="28"/>
      <c r="D16" s="28" t="s">
        <v>1759</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1287" t="str">
        <f>IF(PerpetuityLimitation=1,"Perpetuity","Extrapolation")&amp;" is based on"</f>
        <v>Perpetuity is based on</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1764</v>
      </c>
      <c r="E20" s="28"/>
      <c r="F20" s="28"/>
      <c r="G20" s="28"/>
      <c r="H20" s="97" t="s">
        <v>1765</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1287" t="str">
        <f>"      Enter annual value"&amp;IF(TRIM($J$5)&lt;&gt;""," ("&amp;$J$5&amp;")","")</f>
        <v xml:space="preserve">      Enter annual value</v>
      </c>
      <c r="E22" s="28"/>
      <c r="F22" s="28"/>
      <c r="G22" s="28"/>
      <c r="H22" s="1287" t="str">
        <f ca="1">"Base value "&amp;Calculations!$Q$632</f>
        <v>Base value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1287" t="str">
        <f>"Type of "&amp;IF(PerpetuityLimitation=1,"perpetuity","extrapolation")</f>
        <v>Type of perpetuity</v>
      </c>
      <c r="E24" s="28"/>
      <c r="F24" s="28"/>
      <c r="G24" s="28"/>
      <c r="H24" s="28" t="s">
        <v>1770</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1773</v>
      </c>
      <c r="E26" s="28"/>
      <c r="F26" s="28"/>
      <c r="G26" s="28"/>
      <c r="H26" s="1287" t="str">
        <f ca="1">"Value "&amp;Calculations!$Q$632</f>
        <v>Value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1776</v>
      </c>
      <c r="E28" s="28"/>
      <c r="F28" s="28"/>
      <c r="G28" s="28"/>
      <c r="H28" s="1287" t="str">
        <f>"Present value ("&amp;$F$11&amp;")"</f>
        <v>Present value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1780</v>
      </c>
      <c r="E31" s="28"/>
      <c r="F31" s="28"/>
      <c r="G31" s="28"/>
      <c r="H31" s="105" t="s">
        <v>1782</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1754</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5331</v>
      </c>
      <c r="E35" s="28"/>
      <c r="F35" s="28"/>
      <c r="G35" s="28"/>
      <c r="H35" s="28"/>
      <c r="I35" s="28"/>
      <c r="J35" s="28"/>
      <c r="K35" s="28"/>
      <c r="L35" s="28"/>
      <c r="M35" s="28"/>
      <c r="N35" s="28"/>
      <c r="O35" s="28"/>
    </row>
    <row r="36" spans="1:15" ht="12.75" customHeight="1" x14ac:dyDescent="0.35">
      <c r="A36" s="28"/>
      <c r="B36" s="28"/>
      <c r="C36" s="28"/>
      <c r="D36" s="28" t="s">
        <v>1788</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1518</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1801</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1804</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1807</v>
      </c>
      <c r="E51" s="28" t="s">
        <v>1808</v>
      </c>
      <c r="F51" s="28" t="s">
        <v>1437</v>
      </c>
      <c r="G51" s="28"/>
      <c r="H51" s="28"/>
      <c r="I51" s="28"/>
      <c r="J51" s="28"/>
      <c r="K51" s="28"/>
      <c r="L51" s="28"/>
      <c r="M51" s="28"/>
      <c r="N51" s="28"/>
      <c r="O51" s="28"/>
    </row>
    <row r="52" spans="1:15" ht="12.75" customHeight="1" x14ac:dyDescent="0.35">
      <c r="A52" s="28"/>
      <c r="B52" s="28"/>
      <c r="C52" s="28"/>
      <c r="D52" s="28" t="s">
        <v>1810</v>
      </c>
      <c r="E52" s="28"/>
      <c r="F52" s="28"/>
      <c r="G52" s="28"/>
      <c r="H52" s="28"/>
      <c r="I52" s="28"/>
      <c r="J52" s="28"/>
      <c r="K52" s="28"/>
      <c r="L52" s="28"/>
      <c r="M52" s="28"/>
      <c r="N52" s="28"/>
      <c r="O52" s="28"/>
    </row>
    <row r="53" spans="1:15" ht="12.75" customHeight="1" x14ac:dyDescent="0.35">
      <c r="A53" s="28"/>
      <c r="B53" s="28"/>
      <c r="C53" s="28"/>
      <c r="D53" s="28" t="s">
        <v>1812</v>
      </c>
      <c r="E53" s="28"/>
      <c r="F53" s="28"/>
      <c r="G53" s="28"/>
      <c r="H53" s="28"/>
      <c r="I53" s="28"/>
      <c r="J53" s="28"/>
      <c r="K53" s="28"/>
      <c r="L53" s="28"/>
      <c r="M53" s="28"/>
      <c r="N53" s="28"/>
      <c r="O53" s="28"/>
    </row>
    <row r="54" spans="1:15" ht="12.75" customHeight="1" x14ac:dyDescent="0.35">
      <c r="A54" s="28"/>
      <c r="B54" s="28"/>
      <c r="C54" s="28"/>
      <c r="D54" s="28" t="s">
        <v>1814</v>
      </c>
      <c r="E54" s="28"/>
      <c r="F54" s="28"/>
      <c r="G54" s="28"/>
      <c r="H54" s="28"/>
      <c r="I54" s="28"/>
      <c r="J54" s="28"/>
      <c r="K54" s="28"/>
      <c r="L54" s="28"/>
      <c r="M54" s="28"/>
      <c r="N54" s="28"/>
      <c r="O54" s="28"/>
    </row>
    <row r="55" spans="1:15" ht="12.75" customHeight="1" x14ac:dyDescent="0.35">
      <c r="A55" s="28"/>
      <c r="B55" s="28"/>
      <c r="C55" s="28"/>
      <c r="D55" s="28" t="s">
        <v>1807</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1818</v>
      </c>
      <c r="B57" s="28"/>
      <c r="C57" s="28"/>
      <c r="D57" s="28" t="s">
        <v>1819</v>
      </c>
      <c r="E57" s="28"/>
      <c r="F57" s="28"/>
      <c r="G57" s="28"/>
      <c r="H57" s="28"/>
      <c r="I57" s="28"/>
      <c r="J57" s="28"/>
      <c r="K57" s="28"/>
      <c r="L57" s="28"/>
      <c r="M57" s="28"/>
      <c r="N57" s="28"/>
      <c r="O57" s="28"/>
    </row>
    <row r="58" spans="1:15" ht="12.75" customHeight="1" x14ac:dyDescent="0.35">
      <c r="A58" s="28" t="s">
        <v>1821</v>
      </c>
      <c r="B58" s="28"/>
      <c r="C58" s="28"/>
      <c r="D58" s="111" t="s">
        <v>1822</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1825</v>
      </c>
      <c r="E60" s="6"/>
      <c r="F60" s="7"/>
      <c r="G60" s="1"/>
      <c r="H60" s="6" t="s">
        <v>1826</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1268</v>
      </c>
      <c r="E62" s="6"/>
      <c r="F62" s="7"/>
      <c r="G62" s="1"/>
      <c r="H62" s="6"/>
      <c r="I62" s="28"/>
      <c r="J62" s="28"/>
      <c r="K62" s="28"/>
      <c r="L62" s="28"/>
      <c r="M62" s="28"/>
      <c r="N62" s="28"/>
      <c r="O62" s="28"/>
    </row>
    <row r="63" spans="1:15" ht="12.75" customHeight="1" x14ac:dyDescent="0.35">
      <c r="A63" s="28"/>
      <c r="B63" s="28"/>
      <c r="C63" s="28"/>
      <c r="D63" s="6" t="s">
        <v>1830</v>
      </c>
      <c r="E63" s="6"/>
      <c r="F63" s="7"/>
      <c r="G63" s="1"/>
      <c r="H63" s="6"/>
      <c r="I63" s="28"/>
      <c r="J63" s="28"/>
      <c r="K63" s="28"/>
      <c r="L63" s="28"/>
      <c r="M63" s="28"/>
      <c r="N63" s="28"/>
      <c r="O63" s="28"/>
    </row>
    <row r="64" spans="1:15" ht="12.75" customHeight="1" x14ac:dyDescent="0.35">
      <c r="A64" s="28"/>
      <c r="B64" s="28"/>
      <c r="C64" s="28"/>
      <c r="D64" s="6" t="s">
        <v>1832</v>
      </c>
      <c r="E64" s="6"/>
      <c r="F64" s="7"/>
      <c r="G64" s="1"/>
      <c r="H64" s="6"/>
      <c r="I64" s="28"/>
      <c r="J64" s="28"/>
      <c r="K64" s="28"/>
      <c r="L64" s="28"/>
      <c r="M64" s="28"/>
      <c r="N64" s="28"/>
      <c r="O64" s="28"/>
    </row>
    <row r="65" spans="1:15" ht="12.75" customHeight="1" x14ac:dyDescent="0.35">
      <c r="A65" s="28"/>
      <c r="B65" s="28"/>
      <c r="C65" s="28"/>
      <c r="D65" s="1294" t="str">
        <f ca="1">IF(ResultControlValue&lt;0,"Impairment loss","Control value")&amp;" (B - A)"</f>
        <v>Control value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1836</v>
      </c>
      <c r="E67" s="28"/>
      <c r="F67" s="28"/>
      <c r="G67" s="28"/>
      <c r="H67" s="28"/>
      <c r="I67" s="28"/>
      <c r="J67" s="28"/>
      <c r="K67" s="28"/>
      <c r="L67" s="28"/>
      <c r="M67" s="28"/>
      <c r="N67" s="28"/>
      <c r="O67" s="28"/>
    </row>
    <row r="68" spans="1:15" ht="12.75" customHeight="1" x14ac:dyDescent="0.35">
      <c r="A68" s="28"/>
      <c r="B68" s="28"/>
      <c r="C68" s="28"/>
      <c r="D68" s="105" t="s">
        <v>1838</v>
      </c>
      <c r="E68" s="28"/>
      <c r="F68" s="28"/>
      <c r="G68" s="28"/>
      <c r="H68" s="28"/>
      <c r="I68" s="28"/>
      <c r="J68" s="28"/>
      <c r="K68" s="28"/>
      <c r="L68" s="28"/>
      <c r="M68" s="28"/>
      <c r="N68" s="28"/>
      <c r="O68" s="28"/>
    </row>
    <row r="69" spans="1:15" ht="12.75" customHeight="1" x14ac:dyDescent="0.35">
      <c r="A69" s="28"/>
      <c r="B69" s="28"/>
      <c r="C69" s="28"/>
      <c r="D69" s="114" t="s">
        <v>1840</v>
      </c>
      <c r="E69" s="28"/>
      <c r="F69" s="28"/>
      <c r="G69" s="28"/>
      <c r="H69" s="28"/>
      <c r="I69" s="28"/>
      <c r="J69" s="28"/>
      <c r="K69" s="28"/>
      <c r="L69" s="28"/>
      <c r="M69" s="28"/>
      <c r="N69" s="28"/>
      <c r="O69" s="28"/>
    </row>
    <row r="70" spans="1:15" ht="12.75" customHeight="1" x14ac:dyDescent="0.35">
      <c r="A70" s="28"/>
      <c r="B70" s="28"/>
      <c r="C70" s="28"/>
      <c r="D70" s="28" t="s">
        <v>1842</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1845</v>
      </c>
      <c r="E72" s="28"/>
      <c r="F72" s="28"/>
      <c r="G72" s="28"/>
      <c r="H72" s="28" t="s">
        <v>1846</v>
      </c>
      <c r="I72" s="28"/>
      <c r="J72" s="28"/>
      <c r="K72" s="28"/>
      <c r="L72" s="28"/>
      <c r="M72" s="28"/>
      <c r="N72" s="28"/>
      <c r="O72" s="28"/>
    </row>
    <row r="73" spans="1:15" ht="12.75" customHeight="1" x14ac:dyDescent="0.35">
      <c r="A73" s="28"/>
      <c r="B73" s="28"/>
      <c r="C73" s="28"/>
      <c r="D73" s="1287" t="str">
        <f ca="1">"Cumulative discounted free cash flow "&amp;IF(ISERROR($I$131),"",OFFSET(Calculations!$G$11,0,CalcPointPB))&amp;"-&gt;"&amp;IF(ISERROR(D77),F77,D77)</f>
        <v>Cumulative discounted free cash flow 9/2019-&gt;</v>
      </c>
      <c r="E73" s="28"/>
      <c r="F73" s="28"/>
      <c r="G73" s="28"/>
      <c r="H73" s="28"/>
      <c r="I73" s="28"/>
      <c r="J73" s="28"/>
      <c r="K73" s="28"/>
      <c r="L73" s="28"/>
      <c r="M73" s="28"/>
      <c r="N73" s="28"/>
      <c r="O73" s="28"/>
    </row>
    <row r="74" spans="1:15" ht="12.75" customHeight="1" x14ac:dyDescent="0.35">
      <c r="A74" s="28"/>
      <c r="B74" s="28"/>
      <c r="C74" s="28"/>
      <c r="D74" s="1287" t="str">
        <f ca="1">"Cumulative discounted free cash flow "&amp;IF(ISERROR($I$131),"",OFFSET(Calculations!$G$11,0,CalcPointPB))&amp;"-&gt;"&amp;IF(ISERROR(E77),F77,IF(E77=D77,F77,E77))</f>
        <v>Cumulative discounted free cash flow 9/2019-&gt;</v>
      </c>
      <c r="E74" s="28"/>
      <c r="F74" s="28"/>
      <c r="G74" s="28"/>
      <c r="H74" s="28"/>
      <c r="I74" s="28"/>
      <c r="J74" s="28"/>
      <c r="K74" s="28"/>
      <c r="L74" s="28"/>
      <c r="M74" s="28"/>
      <c r="N74" s="28"/>
      <c r="O74" s="28"/>
    </row>
    <row r="75" spans="1:15" ht="12.75" customHeight="1" x14ac:dyDescent="0.35">
      <c r="A75" s="28"/>
      <c r="B75" s="28"/>
      <c r="C75" s="28"/>
      <c r="D75" s="28" t="s">
        <v>1850</v>
      </c>
      <c r="E75" s="28"/>
      <c r="F75" s="28"/>
      <c r="G75" s="28"/>
      <c r="H75" s="28"/>
      <c r="I75" s="28"/>
      <c r="J75" s="28"/>
      <c r="K75" s="28"/>
      <c r="L75" s="28"/>
      <c r="M75" s="28"/>
      <c r="N75" s="28"/>
      <c r="O75" s="28"/>
    </row>
    <row r="76" spans="1:15" ht="12.75" customHeight="1" x14ac:dyDescent="0.35">
      <c r="A76" s="28"/>
      <c r="B76" s="28"/>
      <c r="C76" s="28"/>
      <c r="D76" s="28" t="s">
        <v>1852</v>
      </c>
      <c r="E76" s="28"/>
      <c r="F76" s="28"/>
      <c r="G76" s="28"/>
      <c r="H76" s="28" t="s">
        <v>1853</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893</v>
      </c>
      <c r="E78" s="28"/>
      <c r="F78" s="28"/>
      <c r="G78" s="28"/>
      <c r="H78" s="1287" t="str">
        <f>"Average "&amp;IF(NOT(ISERROR($N78)),$N78&amp;" years","-")</f>
        <v>Average  years</v>
      </c>
      <c r="I78" s="28"/>
      <c r="J78" s="28"/>
      <c r="K78" s="28"/>
      <c r="L78" s="28"/>
      <c r="M78" s="28"/>
      <c r="N78" s="28"/>
      <c r="O78" s="28"/>
    </row>
    <row r="79" spans="1:15" ht="12.75" customHeight="1" x14ac:dyDescent="0.35">
      <c r="A79" s="28"/>
      <c r="B79" s="28"/>
      <c r="C79" s="28"/>
      <c r="D79" s="28" t="s">
        <v>895</v>
      </c>
      <c r="E79" s="28"/>
      <c r="F79" s="28"/>
      <c r="G79" s="28"/>
      <c r="H79" s="1287" t="str">
        <f>"Average "&amp;IF(NOT(ISERROR($N79)),$N79&amp;" years","-")</f>
        <v>Average  years</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111" t="s">
        <v>897</v>
      </c>
      <c r="E81" s="111"/>
      <c r="F81" s="112"/>
      <c r="G81" s="2"/>
      <c r="H81" s="2"/>
      <c r="I81" s="28"/>
      <c r="J81" s="28"/>
      <c r="K81" s="28"/>
      <c r="L81" s="28"/>
      <c r="M81" s="28"/>
      <c r="N81" s="28"/>
      <c r="O81" s="28"/>
    </row>
    <row r="82" spans="1:15" ht="12.75" customHeight="1" x14ac:dyDescent="0.35">
      <c r="A82" s="28"/>
      <c r="B82" s="28"/>
      <c r="C82" s="28"/>
      <c r="D82" s="111"/>
      <c r="E82" s="111"/>
      <c r="F82" s="112"/>
      <c r="G82" s="2"/>
      <c r="H82" s="2"/>
      <c r="I82" s="28"/>
      <c r="J82" s="28"/>
      <c r="K82" s="28"/>
      <c r="L82" s="28"/>
      <c r="M82" s="28"/>
      <c r="N82" s="28"/>
      <c r="O82" s="28"/>
    </row>
    <row r="83" spans="1:15" ht="12.75" customHeight="1" x14ac:dyDescent="0.35">
      <c r="A83" s="28"/>
      <c r="B83" s="28"/>
      <c r="C83" s="28"/>
      <c r="D83" s="111" t="s">
        <v>1861</v>
      </c>
      <c r="E83" s="111"/>
      <c r="F83" s="112"/>
      <c r="G83" s="2"/>
      <c r="H83" s="2"/>
      <c r="I83" s="28"/>
      <c r="J83" s="28"/>
      <c r="K83" s="28"/>
      <c r="L83" s="28"/>
      <c r="M83" s="28"/>
      <c r="N83" s="28"/>
      <c r="O83" s="28"/>
    </row>
    <row r="84" spans="1:15" ht="12.75" customHeight="1" x14ac:dyDescent="0.35">
      <c r="A84" s="28"/>
      <c r="B84" s="28"/>
      <c r="C84" s="28"/>
      <c r="D84" s="111" t="s">
        <v>1863</v>
      </c>
      <c r="E84" s="111"/>
      <c r="F84" s="112"/>
      <c r="G84" s="2"/>
      <c r="H84" s="2"/>
      <c r="I84" s="28"/>
      <c r="J84" s="28"/>
      <c r="K84" s="28"/>
      <c r="L84" s="28"/>
      <c r="M84" s="28"/>
      <c r="N84" s="28"/>
      <c r="O84" s="28"/>
    </row>
    <row r="85" spans="1:15" ht="12.75" customHeight="1" x14ac:dyDescent="0.35">
      <c r="A85" s="28"/>
      <c r="B85" s="28"/>
      <c r="C85" s="28"/>
      <c r="D85" s="111"/>
      <c r="E85" s="111"/>
      <c r="F85" s="112"/>
      <c r="G85" s="2"/>
      <c r="H85" s="2"/>
      <c r="I85" s="28"/>
      <c r="J85" s="28"/>
      <c r="K85" s="28"/>
      <c r="L85" s="28"/>
      <c r="M85" s="28"/>
      <c r="N85" s="28"/>
      <c r="O85" s="28"/>
    </row>
    <row r="86" spans="1:15" ht="12.75" customHeight="1" x14ac:dyDescent="0.35">
      <c r="A86" s="28"/>
      <c r="B86" s="28"/>
      <c r="C86" s="28"/>
      <c r="D86" s="111" t="s">
        <v>1866</v>
      </c>
      <c r="E86" s="111"/>
      <c r="F86" s="112"/>
      <c r="G86" s="2"/>
      <c r="H86" s="2"/>
      <c r="I86" s="28"/>
      <c r="J86" s="28"/>
      <c r="K86" s="28"/>
      <c r="L86" s="28"/>
      <c r="M86" s="28"/>
      <c r="N86" s="28"/>
      <c r="O86" s="28"/>
    </row>
    <row r="87" spans="1:15" ht="12.75" customHeight="1" x14ac:dyDescent="0.35">
      <c r="A87" s="28"/>
      <c r="B87" s="28"/>
      <c r="C87" s="28"/>
      <c r="D87" s="1295" t="str">
        <f ca="1">"Cumulative discounted value added "&amp;IF(ISERROR($I$132),"",OFFSET(Calculations!$G$11,0,CalcPointPB))&amp;"-&gt;"&amp;IF(ISERROR($D$90),$F$90,$D$90)</f>
        <v>Cumulative discounted value added 9/2019-&gt;</v>
      </c>
      <c r="E87" s="111"/>
      <c r="F87" s="112"/>
      <c r="G87" s="2"/>
      <c r="H87" s="2"/>
      <c r="I87" s="28"/>
      <c r="J87" s="28"/>
      <c r="K87" s="28"/>
      <c r="L87" s="28"/>
      <c r="M87" s="28"/>
      <c r="N87" s="28"/>
      <c r="O87" s="28"/>
    </row>
    <row r="88" spans="1:15" ht="12.75" customHeight="1" x14ac:dyDescent="0.35">
      <c r="A88" s="28"/>
      <c r="B88" s="28"/>
      <c r="C88" s="28"/>
      <c r="D88" s="1295" t="str">
        <f ca="1">"Cumulative discounted value added "&amp;IF(ISERROR($I$132),"",OFFSET(Calculations!$G$11,0,CalcPointPB))&amp;"-&gt;"&amp;IF(ISERROR($E$90),$F$90,IF($E$90=$D$90,$F$90,$E$90))</f>
        <v>Cumulative discounted value added 9/2019-&gt;</v>
      </c>
      <c r="E88" s="111"/>
      <c r="F88" s="112"/>
      <c r="G88" s="2"/>
      <c r="H88" s="2"/>
      <c r="I88" s="28"/>
      <c r="J88" s="28"/>
      <c r="K88" s="28"/>
      <c r="L88" s="28"/>
      <c r="M88" s="28"/>
      <c r="N88" s="28"/>
      <c r="O88" s="28"/>
    </row>
    <row r="89" spans="1:15" ht="12.75" customHeight="1" x14ac:dyDescent="0.35">
      <c r="A89" s="28"/>
      <c r="B89" s="28"/>
      <c r="C89" s="28"/>
      <c r="D89" s="111" t="s">
        <v>1850</v>
      </c>
      <c r="E89" s="111"/>
      <c r="F89" s="112"/>
      <c r="G89" s="2"/>
      <c r="H89" s="2"/>
      <c r="I89" s="28"/>
      <c r="J89" s="28"/>
      <c r="K89" s="28"/>
      <c r="L89" s="28"/>
      <c r="M89" s="28"/>
      <c r="N89" s="28"/>
      <c r="O89" s="28"/>
    </row>
    <row r="90" spans="1:15" ht="12.75" customHeight="1" x14ac:dyDescent="0.35">
      <c r="A90" s="28"/>
      <c r="B90" s="28"/>
      <c r="C90" s="28"/>
      <c r="D90" s="111"/>
      <c r="E90" s="111"/>
      <c r="F90" s="112"/>
      <c r="G90" s="2"/>
      <c r="H90" s="2"/>
      <c r="I90" s="28"/>
      <c r="J90" s="28"/>
      <c r="K90" s="28"/>
      <c r="L90" s="28"/>
      <c r="M90" s="28"/>
      <c r="N90" s="28"/>
      <c r="O90" s="28"/>
    </row>
    <row r="91" spans="1:15" ht="12.75" customHeight="1" x14ac:dyDescent="0.35">
      <c r="A91" s="28"/>
      <c r="B91" s="28"/>
      <c r="C91" s="28"/>
      <c r="D91" s="28" t="s">
        <v>1872</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1875</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1878</v>
      </c>
      <c r="E95" s="28"/>
      <c r="F95" s="28"/>
      <c r="G95" s="28"/>
      <c r="H95" s="28"/>
      <c r="I95" s="28"/>
      <c r="J95" s="28"/>
      <c r="K95" s="28"/>
      <c r="L95" s="28"/>
      <c r="M95" s="28"/>
      <c r="N95" s="28"/>
      <c r="O95" s="28"/>
    </row>
    <row r="96" spans="1:15" ht="12.75" customHeight="1" x14ac:dyDescent="0.35">
      <c r="A96" s="28"/>
      <c r="B96" s="28"/>
      <c r="C96" s="28"/>
      <c r="D96" s="28" t="s">
        <v>1880</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1287" t="str">
        <f>IF(PerpetuityLimitationEquity=1,"Perpetuity","Extrapolation")&amp;" is based on"</f>
        <v>Perpetuity is based on</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1764</v>
      </c>
      <c r="E100" s="28"/>
      <c r="F100" s="28"/>
      <c r="G100" s="28"/>
      <c r="H100" s="97" t="s">
        <v>1765</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1287" t="str">
        <f>"      Enter annual value "&amp;IF(TRIM($J$5)&lt;&gt;"","("&amp;$J$5&amp;")","")</f>
        <v xml:space="preserve">      Enter annual value </v>
      </c>
      <c r="E102" s="28"/>
      <c r="F102" s="28"/>
      <c r="G102" s="28"/>
      <c r="H102" s="1287" t="str">
        <f ca="1">"Base value "&amp;Calculations!$Q$632&amp;""</f>
        <v>Base value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1287" t="str">
        <f>"Type of "&amp;IF(PerpetuityLimitationEquity=1,"perpetuity","extrapolation")</f>
        <v>Type of perpetuity</v>
      </c>
      <c r="E104" s="28"/>
      <c r="F104" s="28"/>
      <c r="G104" s="28"/>
      <c r="H104" s="28" t="s">
        <v>1770</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1773</v>
      </c>
      <c r="E106" s="28"/>
      <c r="F106" s="28"/>
      <c r="G106" s="28"/>
      <c r="H106" s="1287" t="str">
        <f ca="1">"Value "&amp;Calculations!$Q$632&amp;""</f>
        <v>Value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1776</v>
      </c>
      <c r="E108" s="28"/>
      <c r="F108" s="28"/>
      <c r="G108" s="28"/>
      <c r="H108" s="1287" t="str">
        <f>"Present value ("&amp;$F$11&amp;")"</f>
        <v>Present value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1895</v>
      </c>
      <c r="E110" s="28"/>
      <c r="F110" s="28"/>
      <c r="G110" s="28"/>
      <c r="H110" s="28"/>
      <c r="I110" s="28"/>
      <c r="J110" s="28"/>
      <c r="K110" s="28"/>
      <c r="L110" s="28"/>
      <c r="M110" s="28"/>
      <c r="N110" s="28"/>
      <c r="O110" s="28"/>
    </row>
    <row r="111" spans="1:15" ht="12.75" customHeight="1" x14ac:dyDescent="0.35">
      <c r="A111" s="28"/>
      <c r="B111" s="28"/>
      <c r="C111" s="28"/>
      <c r="D111" s="28" t="s">
        <v>1897</v>
      </c>
      <c r="E111" s="28"/>
      <c r="F111" s="28"/>
      <c r="G111" s="28"/>
      <c r="H111" s="28"/>
      <c r="I111" s="28"/>
      <c r="J111" s="28"/>
      <c r="K111" s="28"/>
      <c r="L111" s="28"/>
      <c r="M111" s="28"/>
      <c r="N111" s="28"/>
      <c r="O111" s="28"/>
    </row>
    <row r="112" spans="1:15" ht="12.75" customHeight="1" x14ac:dyDescent="0.35">
      <c r="A112" s="28"/>
      <c r="B112" s="28"/>
      <c r="C112" s="28"/>
      <c r="D112" s="28" t="s">
        <v>1899</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1902</v>
      </c>
      <c r="E114" s="28"/>
      <c r="F114" s="28"/>
      <c r="G114" s="28"/>
      <c r="H114" s="28"/>
      <c r="I114" s="28"/>
      <c r="J114" s="28"/>
      <c r="K114" s="28"/>
      <c r="L114" s="28"/>
      <c r="M114" s="28"/>
      <c r="N114" s="28"/>
      <c r="O114" s="28"/>
    </row>
    <row r="115" spans="1:15" ht="12.75" customHeight="1" x14ac:dyDescent="0.35">
      <c r="A115" s="28"/>
      <c r="B115" s="28"/>
      <c r="C115" s="28"/>
      <c r="D115" s="105" t="s">
        <v>1904</v>
      </c>
      <c r="E115" s="28"/>
      <c r="F115" s="28"/>
      <c r="G115" s="28"/>
      <c r="H115" s="28"/>
      <c r="I115" s="28"/>
      <c r="J115" s="28"/>
      <c r="K115" s="28"/>
      <c r="L115" s="28"/>
      <c r="M115" s="28"/>
      <c r="N115" s="28"/>
      <c r="O115" s="28"/>
    </row>
    <row r="116" spans="1:15" ht="12.75" customHeight="1" x14ac:dyDescent="0.35">
      <c r="A116" s="28"/>
      <c r="B116" s="28"/>
      <c r="C116" s="28"/>
      <c r="D116" s="28" t="s">
        <v>1906</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1909</v>
      </c>
      <c r="E118" s="28"/>
      <c r="F118" s="28"/>
      <c r="G118" s="28"/>
      <c r="H118" s="6" t="s">
        <v>1910</v>
      </c>
      <c r="I118" s="28"/>
      <c r="J118" s="28"/>
      <c r="K118" s="28"/>
      <c r="L118" s="28"/>
      <c r="M118" s="28"/>
      <c r="N118" s="28"/>
      <c r="O118" s="28"/>
    </row>
    <row r="119" spans="1:15" ht="12.75" customHeight="1" x14ac:dyDescent="0.35">
      <c r="A119" s="28"/>
      <c r="B119" s="28"/>
      <c r="C119" s="28"/>
      <c r="D119" s="1287" t="str">
        <f ca="1">"Cumulative discounted FCFE "&amp;IF(ISERROR($G$131),"",OFFSET(Calculations!$G$11,0,CalcPointPB))&amp;"-&gt;"&amp;IF(ISERROR($D$123),$F$123,$D$123)</f>
        <v>Cumulative discounted FCFE 9/2019-&gt;</v>
      </c>
      <c r="E119" s="28"/>
      <c r="F119" s="28"/>
      <c r="G119" s="28"/>
      <c r="H119" s="28"/>
      <c r="I119" s="28"/>
      <c r="J119" s="28"/>
      <c r="K119" s="28"/>
      <c r="L119" s="28"/>
      <c r="M119" s="28"/>
      <c r="N119" s="28"/>
      <c r="O119" s="28"/>
    </row>
    <row r="120" spans="1:15" ht="12.75" customHeight="1" x14ac:dyDescent="0.35">
      <c r="A120" s="28"/>
      <c r="B120" s="28"/>
      <c r="C120" s="28"/>
      <c r="D120" s="1287" t="str">
        <f ca="1">"Cumulative discounted FCFE "&amp;IF(ISERROR($G$131),"",OFFSET(Calculations!$G$11,0,CalcPointPB))&amp;"-&gt;"&amp;IF(ISERROR($E$123),$F$123,IF($E$123=$D$123,$F$123,$E$123))</f>
        <v>Cumulative discounted FCFE 9/2019-&gt;</v>
      </c>
      <c r="E120" s="28"/>
      <c r="F120" s="28"/>
      <c r="G120" s="28"/>
      <c r="H120" s="28"/>
      <c r="I120" s="28"/>
      <c r="J120" s="28"/>
      <c r="K120" s="28"/>
      <c r="L120" s="28"/>
      <c r="M120" s="28"/>
      <c r="N120" s="28"/>
      <c r="O120" s="28"/>
    </row>
    <row r="121" spans="1:15" ht="12.75" customHeight="1" x14ac:dyDescent="0.35">
      <c r="A121" s="28"/>
      <c r="B121" s="28"/>
      <c r="C121" s="28"/>
      <c r="D121" s="28" t="s">
        <v>1850</v>
      </c>
      <c r="E121" s="28"/>
      <c r="F121" s="28"/>
      <c r="G121" s="28"/>
      <c r="I121" s="28"/>
      <c r="J121" s="28"/>
      <c r="K121" s="28"/>
      <c r="L121" s="28"/>
      <c r="M121" s="28"/>
      <c r="N121" s="28"/>
      <c r="O121" s="28"/>
    </row>
    <row r="122" spans="1:15" ht="12.75" customHeight="1" x14ac:dyDescent="0.35">
      <c r="A122" s="28"/>
      <c r="B122" s="28"/>
      <c r="C122" s="28"/>
      <c r="D122" s="28" t="s">
        <v>1915</v>
      </c>
      <c r="E122" s="28"/>
      <c r="F122" s="28"/>
      <c r="G122" s="28"/>
      <c r="H122" s="6" t="s">
        <v>1916</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1920</v>
      </c>
      <c r="E125" s="28"/>
      <c r="F125" s="28"/>
      <c r="G125" s="28"/>
      <c r="H125" s="28"/>
      <c r="I125" s="28"/>
      <c r="J125" s="28"/>
      <c r="K125" s="28"/>
      <c r="L125" s="28"/>
      <c r="M125" s="28"/>
      <c r="N125" s="28"/>
      <c r="O125" s="28"/>
    </row>
    <row r="126" spans="1:15" ht="12.75" customHeight="1" x14ac:dyDescent="0.35">
      <c r="A126" s="28"/>
      <c r="B126" s="28"/>
      <c r="C126" s="28"/>
      <c r="D126" s="28" t="s">
        <v>4127</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1924</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pageSetUpPr autoPageBreaks="0"/>
  </sheetPr>
  <dimension ref="A1:O130"/>
  <sheetViews>
    <sheetView topLeftCell="A88" workbookViewId="0">
      <selection activeCell="D112" sqref="D112"/>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4128</v>
      </c>
      <c r="D1" s="28"/>
      <c r="E1" s="28"/>
      <c r="F1" s="28"/>
      <c r="G1" s="28"/>
      <c r="H1" s="28"/>
      <c r="I1" s="28"/>
      <c r="K1" s="28"/>
      <c r="L1" s="28"/>
      <c r="M1" s="28"/>
      <c r="N1" s="28" t="s">
        <v>4129</v>
      </c>
      <c r="O1" s="28" t="s">
        <v>4130</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4131</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4132</v>
      </c>
      <c r="E5" s="28"/>
      <c r="F5" s="28"/>
      <c r="G5" s="28"/>
      <c r="H5" s="28"/>
      <c r="I5" s="28"/>
      <c r="J5" s="28"/>
      <c r="K5" s="28"/>
      <c r="L5" s="28"/>
      <c r="M5" s="28"/>
      <c r="N5" s="28"/>
      <c r="O5" s="28"/>
    </row>
    <row r="6" spans="1:15" ht="12.75" customHeight="1" x14ac:dyDescent="0.35">
      <c r="A6" s="28"/>
      <c r="B6" s="28"/>
      <c r="C6" s="28"/>
      <c r="D6" s="28" t="s">
        <v>4133</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4134</v>
      </c>
      <c r="E8" s="28"/>
      <c r="F8" s="28"/>
      <c r="G8" s="28"/>
      <c r="H8" s="28" t="s">
        <v>4135</v>
      </c>
      <c r="I8" s="28"/>
      <c r="J8" s="28"/>
      <c r="K8" s="28"/>
      <c r="L8" s="28"/>
      <c r="M8" s="28"/>
      <c r="N8" s="28"/>
      <c r="O8" s="28"/>
    </row>
    <row r="9" spans="1:15" ht="12.75" customHeight="1" x14ac:dyDescent="0.35">
      <c r="A9" s="28"/>
      <c r="B9" s="28"/>
      <c r="C9" s="28"/>
      <c r="D9" s="28" t="s">
        <v>4136</v>
      </c>
      <c r="E9" s="28"/>
      <c r="F9" s="28"/>
      <c r="G9" s="28"/>
      <c r="H9" s="28"/>
      <c r="I9" s="28"/>
      <c r="J9" s="28"/>
      <c r="K9" s="28"/>
      <c r="L9" s="28"/>
      <c r="M9" s="28"/>
      <c r="N9" s="28"/>
      <c r="O9" s="28"/>
    </row>
    <row r="10" spans="1:15" ht="12.75" customHeight="1" x14ac:dyDescent="0.35">
      <c r="A10" s="28"/>
      <c r="B10" s="28"/>
      <c r="C10" s="28"/>
      <c r="D10" s="28" t="s">
        <v>4137</v>
      </c>
      <c r="E10" s="28"/>
      <c r="F10" s="28"/>
      <c r="G10" s="28"/>
      <c r="H10" s="28" t="s">
        <v>2648</v>
      </c>
      <c r="I10" s="28"/>
      <c r="J10" s="28"/>
      <c r="K10" s="28"/>
      <c r="L10" s="28"/>
      <c r="M10" s="28"/>
      <c r="N10" s="28"/>
      <c r="O10" s="28"/>
    </row>
    <row r="11" spans="1:15" ht="12.75" customHeight="1" x14ac:dyDescent="0.35">
      <c r="A11" s="28"/>
      <c r="B11" s="28"/>
      <c r="C11" s="28"/>
      <c r="D11" s="28" t="s">
        <v>4138</v>
      </c>
      <c r="E11" s="28"/>
      <c r="F11" s="28"/>
      <c r="G11" s="28"/>
      <c r="H11" s="28" t="str">
        <f>"(Kauden "&amp;IF(CalcPoint=0,"alussa","lopussa")&amp;")"</f>
        <v>(Kauden alussa)</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4139</v>
      </c>
      <c r="E14" s="28"/>
      <c r="F14" s="28"/>
      <c r="G14" s="28"/>
      <c r="H14" s="28" t="s">
        <v>4140</v>
      </c>
      <c r="I14" s="28"/>
      <c r="J14" s="28"/>
      <c r="K14" s="28"/>
      <c r="L14" s="28"/>
      <c r="M14" s="28"/>
      <c r="N14" s="28"/>
      <c r="O14" s="28"/>
    </row>
    <row r="15" spans="1:15" ht="12.75" customHeight="1" x14ac:dyDescent="0.35">
      <c r="A15" s="28"/>
      <c r="B15" s="28"/>
      <c r="C15" s="28"/>
      <c r="D15" s="28" t="s">
        <v>4141</v>
      </c>
      <c r="E15" s="28"/>
      <c r="F15" s="28"/>
      <c r="G15" s="28"/>
      <c r="H15" s="28"/>
      <c r="I15" s="28"/>
      <c r="J15" s="28"/>
      <c r="K15" s="28"/>
      <c r="L15" s="28"/>
      <c r="M15" s="28"/>
      <c r="N15" s="28"/>
      <c r="O15" s="28"/>
    </row>
    <row r="16" spans="1:15" ht="12.75" customHeight="1" x14ac:dyDescent="0.35">
      <c r="A16" s="28"/>
      <c r="B16" s="28"/>
      <c r="C16" s="28"/>
      <c r="D16" s="28" t="s">
        <v>4142</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IF(PerpetuityLimitation=1,"Ikuisuusarvon (Perpetuity)","Extrapoloinnin")&amp;" peruste"</f>
        <v>Ikuisuusarvon (Perpetuity) peruste</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4143</v>
      </c>
      <c r="E20" s="28"/>
      <c r="F20" s="28"/>
      <c r="G20" s="28"/>
      <c r="H20" s="97" t="s">
        <v>4144</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tr">
        <f>"      Syötä vuosiarvo"&amp;IF(TRIM($J$5)&lt;&gt;""," ("&amp;$J$5&amp;")","")</f>
        <v xml:space="preserve">      Syötä vuosiarvo</v>
      </c>
      <c r="E22" s="28"/>
      <c r="F22" s="28"/>
      <c r="G22" s="28"/>
      <c r="H22" s="28" t="str">
        <f ca="1">"Perustearvo "&amp;Calculations!$Q$632&amp;""</f>
        <v>Perustearvo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tr">
        <f>IF(PerpetuityLimitation=1,"Ikuisuusarvon","Extrapoloinnin")&amp;" tyyppi"</f>
        <v>Ikuisuusarvon tyyppi</v>
      </c>
      <c r="E24" s="28"/>
      <c r="F24" s="28"/>
      <c r="G24" s="28"/>
      <c r="H24" s="28" t="s">
        <v>4145</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4146</v>
      </c>
      <c r="E26" s="28"/>
      <c r="F26" s="28"/>
      <c r="G26" s="28"/>
      <c r="H26" s="28" t="str">
        <f ca="1">"Arvo "&amp;Calculations!$Q$632&amp;""</f>
        <v>Arvo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4147</v>
      </c>
      <c r="E28" s="28"/>
      <c r="F28" s="28"/>
      <c r="G28" s="28"/>
      <c r="H28" s="28" t="str">
        <f>"Nykyarvo ("&amp;$F$11&amp;")"</f>
        <v>Nykyarvo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4148</v>
      </c>
      <c r="E31" s="28"/>
      <c r="F31" s="28"/>
      <c r="G31" s="28"/>
      <c r="H31" s="105" t="s">
        <v>4149</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4139</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5332</v>
      </c>
      <c r="E35" s="28"/>
      <c r="F35" s="28"/>
      <c r="G35" s="28"/>
      <c r="H35" s="28"/>
      <c r="I35" s="28"/>
      <c r="J35" s="28"/>
      <c r="K35" s="28"/>
      <c r="L35" s="28"/>
      <c r="M35" s="28"/>
      <c r="N35" s="28"/>
      <c r="O35" s="28"/>
    </row>
    <row r="36" spans="1:15" ht="12.75" customHeight="1" x14ac:dyDescent="0.35">
      <c r="A36" s="28"/>
      <c r="B36" s="28"/>
      <c r="C36" s="28"/>
      <c r="D36" s="28" t="s">
        <v>4150</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4151</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4152</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4153</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4154</v>
      </c>
      <c r="E51" s="28" t="s">
        <v>4155</v>
      </c>
      <c r="F51" s="28" t="s">
        <v>4156</v>
      </c>
      <c r="G51" s="28"/>
      <c r="H51" s="28"/>
      <c r="I51" s="28"/>
      <c r="J51" s="28"/>
      <c r="K51" s="28"/>
      <c r="L51" s="28"/>
      <c r="M51" s="28"/>
      <c r="N51" s="28"/>
      <c r="O51" s="28"/>
    </row>
    <row r="52" spans="1:15" ht="12.75" customHeight="1" x14ac:dyDescent="0.35">
      <c r="A52" s="28"/>
      <c r="B52" s="28"/>
      <c r="C52" s="28"/>
      <c r="D52" s="28" t="s">
        <v>4157</v>
      </c>
      <c r="E52" s="28"/>
      <c r="F52" s="28"/>
      <c r="G52" s="28"/>
      <c r="H52" s="28"/>
      <c r="I52" s="28"/>
      <c r="J52" s="28"/>
      <c r="K52" s="28"/>
      <c r="L52" s="28"/>
      <c r="M52" s="28"/>
      <c r="N52" s="28"/>
      <c r="O52" s="28"/>
    </row>
    <row r="53" spans="1:15" ht="12.75" customHeight="1" x14ac:dyDescent="0.35">
      <c r="A53" s="28"/>
      <c r="B53" s="28"/>
      <c r="C53" s="28"/>
      <c r="D53" s="28" t="s">
        <v>4158</v>
      </c>
      <c r="E53" s="28"/>
      <c r="F53" s="28"/>
      <c r="G53" s="28"/>
      <c r="H53" s="28"/>
      <c r="I53" s="28"/>
      <c r="J53" s="28"/>
      <c r="K53" s="28"/>
      <c r="L53" s="28"/>
      <c r="M53" s="28"/>
      <c r="N53" s="28"/>
      <c r="O53" s="28"/>
    </row>
    <row r="54" spans="1:15" ht="12.75" customHeight="1" x14ac:dyDescent="0.35">
      <c r="A54" s="28"/>
      <c r="B54" s="28"/>
      <c r="C54" s="28"/>
      <c r="D54" s="28" t="s">
        <v>4159</v>
      </c>
      <c r="E54" s="28"/>
      <c r="F54" s="28"/>
      <c r="G54" s="28"/>
      <c r="H54" s="28"/>
      <c r="I54" s="28"/>
      <c r="J54" s="28"/>
      <c r="K54" s="28"/>
      <c r="L54" s="28"/>
      <c r="M54" s="28"/>
      <c r="N54" s="28"/>
      <c r="O54" s="28"/>
    </row>
    <row r="55" spans="1:15" ht="12.75" customHeight="1" x14ac:dyDescent="0.35">
      <c r="A55" s="28"/>
      <c r="B55" s="28"/>
      <c r="C55" s="28"/>
      <c r="D55" s="28" t="s">
        <v>4154</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4160</v>
      </c>
      <c r="B57" s="28"/>
      <c r="C57" s="28"/>
      <c r="D57" s="28" t="s">
        <v>4161</v>
      </c>
      <c r="E57" s="28"/>
      <c r="F57" s="28"/>
      <c r="G57" s="28"/>
      <c r="H57" s="28"/>
      <c r="I57" s="28"/>
      <c r="J57" s="28"/>
      <c r="K57" s="28"/>
      <c r="L57" s="28"/>
      <c r="M57" s="28"/>
      <c r="N57" s="28"/>
      <c r="O57" s="28"/>
    </row>
    <row r="58" spans="1:15" ht="12.75" customHeight="1" x14ac:dyDescent="0.35">
      <c r="A58" s="28" t="s">
        <v>4162</v>
      </c>
      <c r="B58" s="28"/>
      <c r="C58" s="28"/>
      <c r="D58" s="111" t="s">
        <v>4163</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4164</v>
      </c>
      <c r="E60" s="6"/>
      <c r="F60" s="7"/>
      <c r="G60" s="1"/>
      <c r="H60" s="6" t="s">
        <v>4165</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3034</v>
      </c>
      <c r="E62" s="6"/>
      <c r="F62" s="7"/>
      <c r="G62" s="1"/>
      <c r="H62" s="6"/>
      <c r="I62" s="28"/>
      <c r="J62" s="28"/>
      <c r="K62" s="28"/>
      <c r="L62" s="28"/>
      <c r="M62" s="28"/>
      <c r="N62" s="28"/>
      <c r="O62" s="28"/>
    </row>
    <row r="63" spans="1:15" ht="12.75" customHeight="1" x14ac:dyDescent="0.35">
      <c r="A63" s="28"/>
      <c r="B63" s="28"/>
      <c r="C63" s="28"/>
      <c r="D63" s="6" t="s">
        <v>4166</v>
      </c>
      <c r="E63" s="6"/>
      <c r="F63" s="7"/>
      <c r="G63" s="1"/>
      <c r="H63" s="6"/>
      <c r="I63" s="28"/>
      <c r="J63" s="28"/>
      <c r="K63" s="28"/>
      <c r="L63" s="28"/>
      <c r="M63" s="28"/>
      <c r="N63" s="28"/>
      <c r="O63" s="28"/>
    </row>
    <row r="64" spans="1:15" ht="12.75" customHeight="1" x14ac:dyDescent="0.35">
      <c r="A64" s="28"/>
      <c r="B64" s="28"/>
      <c r="C64" s="28"/>
      <c r="D64" s="6" t="s">
        <v>4167</v>
      </c>
      <c r="E64" s="6"/>
      <c r="F64" s="7"/>
      <c r="G64" s="1"/>
      <c r="H64" s="6"/>
      <c r="I64" s="28"/>
      <c r="J64" s="28"/>
      <c r="K64" s="28"/>
      <c r="L64" s="28"/>
      <c r="M64" s="28"/>
      <c r="N64" s="28"/>
      <c r="O64" s="28"/>
    </row>
    <row r="65" spans="1:15" ht="12.75" customHeight="1" x14ac:dyDescent="0.35">
      <c r="A65" s="28"/>
      <c r="B65" s="28"/>
      <c r="C65" s="28"/>
      <c r="D65" s="6" t="str">
        <f ca="1">IF(ResultControlValue&lt;0,"Arvonalennustappio","Tarkistusarvo")&amp;" (B - A)"</f>
        <v>Tarkistusarvo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4168</v>
      </c>
      <c r="E67" s="28"/>
      <c r="F67" s="28"/>
      <c r="G67" s="28"/>
      <c r="H67" s="28"/>
      <c r="I67" s="28"/>
      <c r="J67" s="28"/>
      <c r="K67" s="28"/>
      <c r="L67" s="28"/>
      <c r="M67" s="28"/>
      <c r="N67" s="28"/>
      <c r="O67" s="28"/>
    </row>
    <row r="68" spans="1:15" ht="12.75" customHeight="1" x14ac:dyDescent="0.35">
      <c r="A68" s="28"/>
      <c r="B68" s="28"/>
      <c r="C68" s="28"/>
      <c r="D68" s="105" t="s">
        <v>4169</v>
      </c>
      <c r="E68" s="28"/>
      <c r="F68" s="28"/>
      <c r="G68" s="28"/>
      <c r="H68" s="28"/>
      <c r="I68" s="28"/>
      <c r="J68" s="28"/>
      <c r="K68" s="28"/>
      <c r="L68" s="28"/>
      <c r="M68" s="28"/>
      <c r="N68" s="28"/>
      <c r="O68" s="28"/>
    </row>
    <row r="69" spans="1:15" ht="12.75" customHeight="1" x14ac:dyDescent="0.35">
      <c r="A69" s="28"/>
      <c r="B69" s="28"/>
      <c r="C69" s="28"/>
      <c r="D69" s="28" t="s">
        <v>4170</v>
      </c>
      <c r="E69" s="28"/>
      <c r="F69" s="28"/>
      <c r="G69" s="28"/>
      <c r="H69" s="28"/>
      <c r="I69" s="28"/>
      <c r="J69" s="28"/>
      <c r="K69" s="28"/>
      <c r="L69" s="28"/>
      <c r="M69" s="28"/>
      <c r="N69" s="28"/>
      <c r="O69" s="28"/>
    </row>
    <row r="70" spans="1:15" ht="12.75" customHeight="1" x14ac:dyDescent="0.35">
      <c r="A70" s="28"/>
      <c r="B70" s="28"/>
      <c r="C70" s="28"/>
      <c r="D70" s="28" t="s">
        <v>4171</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4172</v>
      </c>
      <c r="E72" s="28"/>
      <c r="F72" s="28"/>
      <c r="G72" s="28"/>
      <c r="H72" s="28" t="s">
        <v>4173</v>
      </c>
      <c r="I72" s="28"/>
      <c r="J72" s="28"/>
      <c r="K72" s="28"/>
      <c r="L72" s="28"/>
      <c r="M72" s="28"/>
      <c r="N72" s="28"/>
      <c r="O72" s="28"/>
    </row>
    <row r="73" spans="1:15" ht="12.75" customHeight="1" x14ac:dyDescent="0.35">
      <c r="A73" s="28"/>
      <c r="B73" s="28"/>
      <c r="C73" s="28"/>
      <c r="D73" s="28" t="str">
        <f ca="1">"Kumulatiivinen diskontattu vapaa kassavirta "&amp;IF(ISERROR($I$131),"",OFFSET(Calculations!$G$11,0,CalcPointPB))&amp;"-&gt;"&amp;IF(ISERROR(D77),F77,D77)</f>
        <v>Kumulatiivinen diskontattu vapaa kassavirta 9/2019-&gt;</v>
      </c>
      <c r="E73" s="28"/>
      <c r="F73" s="28"/>
      <c r="G73" s="28"/>
      <c r="H73" s="28"/>
      <c r="I73" s="28"/>
      <c r="J73" s="28"/>
      <c r="K73" s="28"/>
      <c r="L73" s="28"/>
      <c r="M73" s="28"/>
      <c r="N73" s="28"/>
      <c r="O73" s="28"/>
    </row>
    <row r="74" spans="1:15" ht="12.75" customHeight="1" x14ac:dyDescent="0.35">
      <c r="A74" s="28"/>
      <c r="B74" s="28"/>
      <c r="C74" s="28"/>
      <c r="D74" s="28" t="str">
        <f ca="1">"Kumulatiivinen diskontattu vapaa kassavirta "&amp;IF(ISERROR($I$131),"",OFFSET(Calculations!$G$11,0,CalcPointPB))&amp;"-&gt;"&amp;IF(ISERROR(E77),F77,IF(E77=D77,F77,E77))</f>
        <v>Kumulatiivinen diskontattu vapaa kassavirta 9/2019-&gt;</v>
      </c>
      <c r="E74" s="28"/>
      <c r="F74" s="28"/>
      <c r="G74" s="28"/>
      <c r="H74" s="28"/>
      <c r="I74" s="28"/>
      <c r="J74" s="28"/>
      <c r="K74" s="28"/>
      <c r="L74" s="28"/>
      <c r="M74" s="28"/>
      <c r="N74" s="28"/>
      <c r="O74" s="28"/>
    </row>
    <row r="75" spans="1:15" ht="12.75" customHeight="1" x14ac:dyDescent="0.35">
      <c r="A75" s="28"/>
      <c r="B75" s="28"/>
      <c r="C75" s="28"/>
      <c r="D75" s="28" t="s">
        <v>4174</v>
      </c>
      <c r="E75" s="28"/>
      <c r="F75" s="28"/>
      <c r="G75" s="28"/>
      <c r="H75" s="28"/>
      <c r="I75" s="28"/>
      <c r="J75" s="28"/>
      <c r="K75" s="28"/>
      <c r="L75" s="28"/>
      <c r="M75" s="28"/>
      <c r="N75" s="28"/>
      <c r="O75" s="28"/>
    </row>
    <row r="76" spans="1:15" ht="12.75" customHeight="1" x14ac:dyDescent="0.35">
      <c r="A76" s="28"/>
      <c r="B76" s="28"/>
      <c r="C76" s="28"/>
      <c r="D76" s="28" t="s">
        <v>4175</v>
      </c>
      <c r="E76" s="28"/>
      <c r="F76" s="28"/>
      <c r="G76" s="28"/>
      <c r="H76" s="28" t="s">
        <v>4176</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4177</v>
      </c>
      <c r="E78" s="28"/>
      <c r="F78" s="28"/>
      <c r="G78" s="28"/>
      <c r="H78" s="28" t="str">
        <f>"Keskim. "&amp;IF(NOT(ISERROR($N78)),$N78&amp;" vuotta","-")</f>
        <v>Keskim.  vuotta</v>
      </c>
      <c r="I78" s="28"/>
      <c r="J78" s="28"/>
      <c r="K78" s="28"/>
      <c r="L78" s="28"/>
      <c r="M78" s="28"/>
      <c r="N78" s="28"/>
      <c r="O78" s="28"/>
    </row>
    <row r="79" spans="1:15" ht="12.75" customHeight="1" x14ac:dyDescent="0.35">
      <c r="A79" s="28"/>
      <c r="B79" s="28"/>
      <c r="C79" s="28"/>
      <c r="D79" s="28" t="s">
        <v>2909</v>
      </c>
      <c r="E79" s="28"/>
      <c r="F79" s="28"/>
      <c r="G79" s="28"/>
      <c r="H79" s="28" t="str">
        <f>"Keskim. "&amp;IF(NOT(ISERROR($N79)),$N79&amp;" vuotta","-")</f>
        <v>Keskim.  vuotta</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2910</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28" t="s">
        <v>4178</v>
      </c>
      <c r="E83" s="111"/>
      <c r="F83" s="112"/>
      <c r="G83" s="2"/>
      <c r="H83" s="2"/>
      <c r="I83" s="28"/>
      <c r="J83" s="28"/>
      <c r="K83" s="28"/>
      <c r="L83" s="28"/>
      <c r="M83" s="28"/>
      <c r="N83" s="28"/>
      <c r="O83" s="28"/>
    </row>
    <row r="84" spans="1:15" ht="12.75" customHeight="1" x14ac:dyDescent="0.35">
      <c r="A84" s="28"/>
      <c r="B84" s="28"/>
      <c r="C84" s="28"/>
      <c r="D84" s="28" t="s">
        <v>4179</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4180</v>
      </c>
      <c r="E86" s="111"/>
      <c r="F86" s="112"/>
      <c r="G86" s="2"/>
      <c r="H86" s="2"/>
      <c r="I86" s="28"/>
      <c r="J86" s="28"/>
      <c r="K86" s="28"/>
      <c r="L86" s="28"/>
      <c r="M86" s="28"/>
      <c r="N86" s="28"/>
      <c r="O86" s="28"/>
    </row>
    <row r="87" spans="1:15" ht="12.75" customHeight="1" x14ac:dyDescent="0.35">
      <c r="A87" s="28"/>
      <c r="B87" s="28"/>
      <c r="C87" s="28"/>
      <c r="D87" s="28" t="str">
        <f ca="1">"Kum. diskontattu taloudellinen lisäarvo "&amp;IF(ISERROR($I$132),"",OFFSET(Calculations!$G$11,0,CalcPointPB))&amp;"-&gt;"&amp;IF(ISERROR($D$90),$F$90,$D$90)</f>
        <v>Kum. diskontattu taloudellinen lisäarvo 9/2019-&gt;</v>
      </c>
      <c r="E87" s="111"/>
      <c r="F87" s="112"/>
      <c r="G87" s="2"/>
      <c r="H87" s="2"/>
      <c r="I87" s="28"/>
      <c r="J87" s="28"/>
      <c r="K87" s="28"/>
      <c r="L87" s="28"/>
      <c r="M87" s="28"/>
      <c r="N87" s="28"/>
      <c r="O87" s="28"/>
    </row>
    <row r="88" spans="1:15" ht="12.75" customHeight="1" x14ac:dyDescent="0.35">
      <c r="A88" s="28"/>
      <c r="B88" s="28"/>
      <c r="C88" s="28"/>
      <c r="D88" s="28" t="str">
        <f ca="1">"Kum. diskontattu taloudellinen lisäarvo "&amp;IF(ISERROR($I$132),"",OFFSET(Calculations!$G$11,0,CalcPointPB))&amp;"-&gt;"&amp;IF(ISERROR($E$90),$F$90,IF($E$90=$D$90,$F$90,$E$90))</f>
        <v>Kum. diskontattu taloudellinen lisäarvo 9/2019-&gt;</v>
      </c>
      <c r="E88" s="111"/>
      <c r="F88" s="112"/>
      <c r="G88" s="2"/>
      <c r="H88" s="2"/>
      <c r="I88" s="28"/>
      <c r="J88" s="28"/>
      <c r="K88" s="28"/>
      <c r="L88" s="28"/>
      <c r="M88" s="28"/>
      <c r="N88" s="28"/>
      <c r="O88" s="28"/>
    </row>
    <row r="89" spans="1:15" ht="12.75" customHeight="1" x14ac:dyDescent="0.35">
      <c r="A89" s="28"/>
      <c r="B89" s="28"/>
      <c r="C89" s="28"/>
      <c r="D89" s="28" t="s">
        <v>4174</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4181</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4182</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4183</v>
      </c>
      <c r="E95" s="28"/>
      <c r="F95" s="28"/>
      <c r="G95" s="28"/>
      <c r="H95" s="28"/>
      <c r="I95" s="28"/>
      <c r="J95" s="28"/>
      <c r="K95" s="28"/>
      <c r="L95" s="28"/>
      <c r="M95" s="28"/>
      <c r="N95" s="28"/>
      <c r="O95" s="28"/>
    </row>
    <row r="96" spans="1:15" ht="12.75" customHeight="1" x14ac:dyDescent="0.35">
      <c r="A96" s="28"/>
      <c r="B96" s="28"/>
      <c r="C96" s="28"/>
      <c r="D96" s="28" t="s">
        <v>4184</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IF(PerpetuityLimitationEquity=1,"Ikuisuusarvon (Perpetuity)","Extrapoloinnin")&amp;" peruste"</f>
        <v>Ikuisuusarvon (Perpetuity) peruste</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4143</v>
      </c>
      <c r="E100" s="28"/>
      <c r="F100" s="28"/>
      <c r="G100" s="28"/>
      <c r="H100" s="97" t="s">
        <v>4144</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tr">
        <f>"      Syötä vuosiarvo"&amp;IF(TRIM($J$5)&lt;&gt;""," ("&amp;$J$5&amp;")","")</f>
        <v xml:space="preserve">      Syötä vuosiarvo</v>
      </c>
      <c r="E102" s="28"/>
      <c r="F102" s="28"/>
      <c r="G102" s="28"/>
      <c r="H102" s="28" t="str">
        <f ca="1">"Perustearvo "&amp;Calculations!$Q$632&amp;""</f>
        <v>Perustearvo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tr">
        <f>IF(PerpetuityLimitationEquity=1,"Ikuisuusarvon","Extrapoloinnin")&amp;" tyyppi"</f>
        <v>Ikuisuusarvon tyyppi</v>
      </c>
      <c r="E104" s="28"/>
      <c r="F104" s="28"/>
      <c r="G104" s="28"/>
      <c r="H104" s="28" t="s">
        <v>4145</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4146</v>
      </c>
      <c r="E106" s="28"/>
      <c r="F106" s="28"/>
      <c r="G106" s="28"/>
      <c r="H106" s="28" t="str">
        <f ca="1">"Arvo "&amp;Calculations!$Q$632&amp;""</f>
        <v>Arvo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4147</v>
      </c>
      <c r="E108" s="28"/>
      <c r="F108" s="28"/>
      <c r="G108" s="28"/>
      <c r="H108" s="28" t="str">
        <f>"Nykyarvo ("&amp;$F$11&amp;")"</f>
        <v>Nykyarvo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4185</v>
      </c>
      <c r="E110" s="28"/>
      <c r="F110" s="28"/>
      <c r="G110" s="28"/>
      <c r="H110" s="28"/>
      <c r="I110" s="28"/>
      <c r="J110" s="28"/>
      <c r="K110" s="28"/>
      <c r="L110" s="28"/>
      <c r="M110" s="28"/>
      <c r="N110" s="28"/>
      <c r="O110" s="28"/>
    </row>
    <row r="111" spans="1:15" ht="12.75" customHeight="1" x14ac:dyDescent="0.35">
      <c r="A111" s="28"/>
      <c r="B111" s="28"/>
      <c r="C111" s="28"/>
      <c r="D111" s="28" t="s">
        <v>4186</v>
      </c>
      <c r="E111" s="28"/>
      <c r="F111" s="28"/>
      <c r="G111" s="28"/>
      <c r="H111" s="28"/>
      <c r="I111" s="28"/>
      <c r="J111" s="28"/>
      <c r="K111" s="28"/>
      <c r="L111" s="28"/>
      <c r="M111" s="28"/>
      <c r="N111" s="28"/>
      <c r="O111" s="28"/>
    </row>
    <row r="112" spans="1:15" ht="12.75" customHeight="1" x14ac:dyDescent="0.35">
      <c r="A112" s="28"/>
      <c r="B112" s="28"/>
      <c r="C112" s="28"/>
      <c r="D112" s="28" t="s">
        <v>4187</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4188</v>
      </c>
      <c r="E114" s="28"/>
      <c r="F114" s="28"/>
      <c r="G114" s="28"/>
      <c r="H114" s="28"/>
      <c r="I114" s="28"/>
      <c r="J114" s="28"/>
      <c r="K114" s="28"/>
      <c r="L114" s="28"/>
      <c r="M114" s="28"/>
      <c r="N114" s="28"/>
      <c r="O114" s="28"/>
    </row>
    <row r="115" spans="1:15" ht="12.75" customHeight="1" x14ac:dyDescent="0.35">
      <c r="A115" s="28"/>
      <c r="B115" s="28"/>
      <c r="C115" s="28"/>
      <c r="D115" s="105" t="s">
        <v>4189</v>
      </c>
      <c r="E115" s="28"/>
      <c r="F115" s="28"/>
      <c r="G115" s="28"/>
      <c r="H115" s="28"/>
      <c r="I115" s="28"/>
      <c r="J115" s="28"/>
      <c r="K115" s="28"/>
      <c r="L115" s="28"/>
      <c r="M115" s="28"/>
      <c r="N115" s="28"/>
      <c r="O115" s="28"/>
    </row>
    <row r="116" spans="1:15" ht="12.75" customHeight="1" x14ac:dyDescent="0.35">
      <c r="A116" s="28"/>
      <c r="B116" s="28"/>
      <c r="C116" s="28"/>
      <c r="D116" s="28" t="s">
        <v>4190</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4191</v>
      </c>
      <c r="E118" s="28"/>
      <c r="F118" s="28"/>
      <c r="G118" s="28"/>
      <c r="H118" s="28" t="s">
        <v>4192</v>
      </c>
      <c r="I118" s="28"/>
      <c r="J118" s="28"/>
      <c r="K118" s="28"/>
      <c r="L118" s="28"/>
      <c r="M118" s="28"/>
      <c r="N118" s="28"/>
      <c r="O118" s="28"/>
    </row>
    <row r="119" spans="1:15" ht="12.75" customHeight="1" x14ac:dyDescent="0.35">
      <c r="A119" s="28"/>
      <c r="B119" s="28"/>
      <c r="C119" s="28"/>
      <c r="D119" s="28" t="str">
        <f ca="1">"Kumulatiivinen diskontattu FCFE "&amp;IF(ISERROR($G$131),"",OFFSET(Calculations!$G$11,0,CalcPointPB))&amp;"-&gt;"&amp;IF(ISERROR($D$123),$F$123,$D$123)</f>
        <v>Kumulatiivinen diskontattu FCFE 9/2019-&gt;</v>
      </c>
      <c r="E119" s="28"/>
      <c r="F119" s="28"/>
      <c r="G119" s="28"/>
      <c r="H119" s="28"/>
      <c r="I119" s="28"/>
      <c r="J119" s="28"/>
      <c r="K119" s="28"/>
      <c r="L119" s="28"/>
      <c r="M119" s="28"/>
      <c r="N119" s="28"/>
      <c r="O119" s="28"/>
    </row>
    <row r="120" spans="1:15" ht="12.75" customHeight="1" x14ac:dyDescent="0.35">
      <c r="A120" s="28"/>
      <c r="B120" s="28"/>
      <c r="C120" s="28"/>
      <c r="D120" s="28" t="str">
        <f ca="1">"Kumulatiivinen diskontattu FCFE "&amp;IF(ISERROR($G$131),"",OFFSET(Calculations!$G$11,0,CalcPointPB))&amp;"-&gt;"&amp;IF(ISERROR($E$123),$F$123,IF($E$123=$D$123,$F$123,$E$123))</f>
        <v>Kumulatiivinen diskontattu FCFE 9/2019-&gt;</v>
      </c>
      <c r="E120" s="28"/>
      <c r="F120" s="28"/>
      <c r="G120" s="28"/>
      <c r="H120" s="28"/>
      <c r="I120" s="28"/>
      <c r="J120" s="28"/>
      <c r="K120" s="28"/>
      <c r="L120" s="28"/>
      <c r="M120" s="28"/>
      <c r="N120" s="28"/>
      <c r="O120" s="28"/>
    </row>
    <row r="121" spans="1:15" ht="12.75" customHeight="1" x14ac:dyDescent="0.35">
      <c r="A121" s="28"/>
      <c r="B121" s="28"/>
      <c r="C121" s="28"/>
      <c r="D121" s="28" t="s">
        <v>4174</v>
      </c>
      <c r="E121" s="28"/>
      <c r="F121" s="28"/>
      <c r="G121" s="28"/>
      <c r="I121" s="28"/>
      <c r="J121" s="28"/>
      <c r="K121" s="28"/>
      <c r="L121" s="28"/>
      <c r="M121" s="28"/>
      <c r="N121" s="28"/>
      <c r="O121" s="28"/>
    </row>
    <row r="122" spans="1:15" ht="12.75" customHeight="1" x14ac:dyDescent="0.35">
      <c r="A122" s="28"/>
      <c r="B122" s="28"/>
      <c r="C122" s="28"/>
      <c r="D122" s="28" t="s">
        <v>4193</v>
      </c>
      <c r="E122" s="28"/>
      <c r="F122" s="28"/>
      <c r="G122" s="28"/>
      <c r="H122" s="28" t="s">
        <v>4194</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4195</v>
      </c>
      <c r="E125" s="28"/>
      <c r="F125" s="28"/>
      <c r="G125" s="28"/>
      <c r="H125" s="28"/>
      <c r="I125" s="28"/>
      <c r="J125" s="28"/>
      <c r="K125" s="28"/>
      <c r="L125" s="28"/>
      <c r="M125" s="28"/>
      <c r="N125" s="28"/>
      <c r="O125" s="28"/>
    </row>
    <row r="126" spans="1:15" ht="12.75" customHeight="1" x14ac:dyDescent="0.35">
      <c r="A126" s="28"/>
      <c r="B126" s="28"/>
      <c r="C126" s="28"/>
      <c r="D126" s="28" t="s">
        <v>4196</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4197</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pageSetUpPr autoPageBreaks="0"/>
  </sheetPr>
  <dimension ref="A1:O130"/>
  <sheetViews>
    <sheetView topLeftCell="A88" workbookViewId="0">
      <selection activeCell="D112" sqref="D112"/>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4198</v>
      </c>
      <c r="D1" s="28"/>
      <c r="E1" s="28"/>
      <c r="F1" s="28"/>
      <c r="G1" s="28"/>
      <c r="H1" s="28"/>
      <c r="I1" s="28"/>
      <c r="K1" s="28"/>
      <c r="L1" s="28"/>
      <c r="M1" s="28"/>
      <c r="N1" s="28" t="s">
        <v>4199</v>
      </c>
      <c r="O1" s="28" t="s">
        <v>4200</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4201</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4202</v>
      </c>
      <c r="E5" s="28"/>
      <c r="F5" s="28"/>
      <c r="G5" s="28"/>
      <c r="H5" s="28"/>
      <c r="I5" s="28"/>
      <c r="J5" s="28"/>
      <c r="K5" s="28"/>
      <c r="L5" s="28"/>
      <c r="M5" s="28"/>
      <c r="N5" s="28"/>
      <c r="O5" s="28"/>
    </row>
    <row r="6" spans="1:15" ht="12.75" customHeight="1" x14ac:dyDescent="0.35">
      <c r="A6" s="28"/>
      <c r="B6" s="28"/>
      <c r="C6" s="28"/>
      <c r="D6" s="28" t="s">
        <v>4203</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4204</v>
      </c>
      <c r="E8" s="28"/>
      <c r="F8" s="28"/>
      <c r="G8" s="28"/>
      <c r="H8" s="28" t="s">
        <v>4205</v>
      </c>
      <c r="I8" s="28"/>
      <c r="J8" s="28"/>
      <c r="K8" s="28"/>
      <c r="L8" s="28"/>
      <c r="M8" s="28"/>
      <c r="N8" s="28"/>
      <c r="O8" s="28"/>
    </row>
    <row r="9" spans="1:15" ht="12.75" customHeight="1" x14ac:dyDescent="0.35">
      <c r="A9" s="28"/>
      <c r="B9" s="28"/>
      <c r="C9" s="28"/>
      <c r="D9" s="28" t="s">
        <v>4206</v>
      </c>
      <c r="E9" s="28"/>
      <c r="F9" s="28"/>
      <c r="G9" s="28"/>
      <c r="H9" s="28"/>
      <c r="I9" s="28"/>
      <c r="J9" s="28"/>
      <c r="K9" s="28"/>
      <c r="L9" s="28"/>
      <c r="M9" s="28"/>
      <c r="N9" s="28"/>
      <c r="O9" s="28"/>
    </row>
    <row r="10" spans="1:15" ht="12.75" customHeight="1" x14ac:dyDescent="0.35">
      <c r="A10" s="28"/>
      <c r="B10" s="28"/>
      <c r="C10" s="28"/>
      <c r="D10" s="28" t="s">
        <v>4207</v>
      </c>
      <c r="E10" s="28"/>
      <c r="F10" s="28"/>
      <c r="G10" s="28"/>
      <c r="H10" s="28" t="s">
        <v>2672</v>
      </c>
      <c r="I10" s="28"/>
      <c r="J10" s="28"/>
      <c r="K10" s="28"/>
      <c r="L10" s="28"/>
      <c r="M10" s="28"/>
      <c r="N10" s="28"/>
      <c r="O10" s="28"/>
    </row>
    <row r="11" spans="1:15" ht="12.75" customHeight="1" x14ac:dyDescent="0.35">
      <c r="A11" s="28"/>
      <c r="B11" s="28"/>
      <c r="C11" s="28"/>
      <c r="D11" s="28" t="s">
        <v>4208</v>
      </c>
      <c r="E11" s="28"/>
      <c r="F11" s="28"/>
      <c r="G11" s="28"/>
      <c r="H11" s="28" t="str">
        <f>"(I "&amp;IF(CalcPoint=0,"början","slutet")&amp;" av perioden)"</f>
        <v>(I början av perioden)</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4209</v>
      </c>
      <c r="E14" s="28"/>
      <c r="F14" s="28"/>
      <c r="G14" s="28"/>
      <c r="H14" s="28" t="s">
        <v>4210</v>
      </c>
      <c r="I14" s="28"/>
      <c r="J14" s="28"/>
      <c r="K14" s="28"/>
      <c r="L14" s="28"/>
      <c r="M14" s="28"/>
      <c r="N14" s="28"/>
      <c r="O14" s="28"/>
    </row>
    <row r="15" spans="1:15" ht="12.75" customHeight="1" x14ac:dyDescent="0.35">
      <c r="A15" s="28"/>
      <c r="B15" s="28"/>
      <c r="C15" s="28"/>
      <c r="D15" s="28" t="s">
        <v>4211</v>
      </c>
      <c r="E15" s="28"/>
      <c r="F15" s="28"/>
      <c r="G15" s="28"/>
      <c r="H15" s="28"/>
      <c r="I15" s="28"/>
      <c r="J15" s="28"/>
      <c r="K15" s="28"/>
      <c r="L15" s="28"/>
      <c r="M15" s="28"/>
      <c r="N15" s="28"/>
      <c r="O15" s="28"/>
    </row>
    <row r="16" spans="1:15" ht="12.75" customHeight="1" x14ac:dyDescent="0.35">
      <c r="A16" s="28"/>
      <c r="B16" s="28"/>
      <c r="C16" s="28"/>
      <c r="D16" s="28" t="s">
        <v>4212</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"Bas för "&amp;IF(PerpetuityLimitation=1,"evig konsol (Perpetuity)","extrapolering")</f>
        <v>Bas för evig konsol (Perpetuity)</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4213</v>
      </c>
      <c r="E20" s="28"/>
      <c r="F20" s="28"/>
      <c r="G20" s="28"/>
      <c r="H20" s="97" t="s">
        <v>4214</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tr">
        <f>"      Mata in årligt värde"&amp;IF(TRIM($J$5)&lt;&gt;""," ("&amp;$J$5&amp;")","")</f>
        <v xml:space="preserve">      Mata in årligt värde</v>
      </c>
      <c r="E22" s="28"/>
      <c r="F22" s="28"/>
      <c r="G22" s="28"/>
      <c r="H22" s="28" t="str">
        <f ca="1">"Basvärde "&amp;Calculations!$Q$632&amp;""</f>
        <v>Basvärde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tr">
        <f>"Typ av "&amp;IF(PerpetuityLimitation=1,"evig konsol","extrapolering")</f>
        <v>Typ av evig konsol</v>
      </c>
      <c r="E24" s="28"/>
      <c r="F24" s="28"/>
      <c r="G24" s="28"/>
      <c r="H24" s="28" t="s">
        <v>4206</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4215</v>
      </c>
      <c r="E26" s="28"/>
      <c r="F26" s="28"/>
      <c r="G26" s="28"/>
      <c r="H26" s="28" t="str">
        <f ca="1">"Värde "&amp;Calculations!$Q$632&amp;""</f>
        <v>Värde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4216</v>
      </c>
      <c r="E28" s="28"/>
      <c r="F28" s="28"/>
      <c r="G28" s="28"/>
      <c r="H28" s="28" t="str">
        <f>"Nuvärde ("&amp;$F$11&amp;")"</f>
        <v>Nuvärde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4217</v>
      </c>
      <c r="E31" s="28"/>
      <c r="F31" s="28"/>
      <c r="G31" s="28"/>
      <c r="H31" s="105" t="s">
        <v>4218</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4209</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5333</v>
      </c>
      <c r="E35" s="28"/>
      <c r="F35" s="28"/>
      <c r="G35" s="28"/>
      <c r="H35" s="28"/>
      <c r="I35" s="28"/>
      <c r="J35" s="28"/>
      <c r="K35" s="28"/>
      <c r="L35" s="28"/>
      <c r="M35" s="28"/>
      <c r="N35" s="28"/>
      <c r="O35" s="28"/>
    </row>
    <row r="36" spans="1:15" ht="12.75" customHeight="1" x14ac:dyDescent="0.35">
      <c r="A36" s="28"/>
      <c r="B36" s="28"/>
      <c r="C36" s="28"/>
      <c r="D36" s="28" t="s">
        <v>4219</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4220</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4221</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4222</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4223</v>
      </c>
      <c r="E51" s="28" t="s">
        <v>4224</v>
      </c>
      <c r="F51" s="28" t="s">
        <v>4225</v>
      </c>
      <c r="G51" s="28"/>
      <c r="H51" s="28"/>
      <c r="I51" s="28"/>
      <c r="J51" s="28"/>
      <c r="K51" s="28"/>
      <c r="L51" s="28"/>
      <c r="M51" s="28"/>
      <c r="N51" s="28"/>
      <c r="O51" s="28"/>
    </row>
    <row r="52" spans="1:15" ht="12.75" customHeight="1" x14ac:dyDescent="0.35">
      <c r="A52" s="28"/>
      <c r="B52" s="28"/>
      <c r="C52" s="28"/>
      <c r="D52" s="28" t="s">
        <v>4226</v>
      </c>
      <c r="E52" s="28"/>
      <c r="F52" s="28"/>
      <c r="G52" s="28"/>
      <c r="H52" s="28"/>
      <c r="I52" s="28"/>
      <c r="J52" s="28"/>
      <c r="K52" s="28"/>
      <c r="L52" s="28"/>
      <c r="M52" s="28"/>
      <c r="N52" s="28"/>
      <c r="O52" s="28"/>
    </row>
    <row r="53" spans="1:15" ht="12.75" customHeight="1" x14ac:dyDescent="0.35">
      <c r="A53" s="28"/>
      <c r="B53" s="28"/>
      <c r="C53" s="28"/>
      <c r="D53" s="28" t="s">
        <v>4227</v>
      </c>
      <c r="E53" s="28"/>
      <c r="F53" s="28"/>
      <c r="G53" s="28"/>
      <c r="H53" s="28"/>
      <c r="I53" s="28"/>
      <c r="J53" s="28"/>
      <c r="K53" s="28"/>
      <c r="L53" s="28"/>
      <c r="M53" s="28"/>
      <c r="N53" s="28"/>
      <c r="O53" s="28"/>
    </row>
    <row r="54" spans="1:15" ht="12.75" customHeight="1" x14ac:dyDescent="0.35">
      <c r="A54" s="28"/>
      <c r="B54" s="28"/>
      <c r="C54" s="28"/>
      <c r="D54" s="28" t="s">
        <v>4228</v>
      </c>
      <c r="E54" s="28"/>
      <c r="F54" s="28"/>
      <c r="G54" s="28"/>
      <c r="H54" s="28"/>
      <c r="I54" s="28"/>
      <c r="J54" s="28"/>
      <c r="K54" s="28"/>
      <c r="L54" s="28"/>
      <c r="M54" s="28"/>
      <c r="N54" s="28"/>
      <c r="O54" s="28"/>
    </row>
    <row r="55" spans="1:15" ht="12.75" customHeight="1" x14ac:dyDescent="0.35">
      <c r="A55" s="28"/>
      <c r="B55" s="28"/>
      <c r="C55" s="28"/>
      <c r="D55" s="28" t="s">
        <v>4223</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4229</v>
      </c>
      <c r="B57" s="28"/>
      <c r="C57" s="28"/>
      <c r="D57" s="28" t="s">
        <v>4230</v>
      </c>
      <c r="E57" s="28"/>
      <c r="F57" s="28"/>
      <c r="G57" s="28"/>
      <c r="H57" s="28"/>
      <c r="I57" s="28"/>
      <c r="J57" s="28"/>
      <c r="K57" s="28"/>
      <c r="L57" s="28"/>
      <c r="M57" s="28"/>
      <c r="N57" s="28"/>
      <c r="O57" s="28"/>
    </row>
    <row r="58" spans="1:15" ht="12.75" customHeight="1" x14ac:dyDescent="0.35">
      <c r="A58" s="28" t="s">
        <v>4231</v>
      </c>
      <c r="B58" s="28"/>
      <c r="C58" s="28"/>
      <c r="D58" s="111" t="s">
        <v>4232</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4233</v>
      </c>
      <c r="E60" s="6"/>
      <c r="F60" s="7"/>
      <c r="G60" s="1"/>
      <c r="H60" s="6" t="s">
        <v>4234</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3238</v>
      </c>
      <c r="E62" s="6"/>
      <c r="F62" s="7"/>
      <c r="G62" s="1"/>
      <c r="H62" s="6"/>
      <c r="I62" s="28"/>
      <c r="J62" s="28"/>
      <c r="K62" s="28"/>
      <c r="L62" s="28"/>
      <c r="M62" s="28"/>
      <c r="N62" s="28"/>
      <c r="O62" s="28"/>
    </row>
    <row r="63" spans="1:15" ht="12.75" customHeight="1" x14ac:dyDescent="0.35">
      <c r="A63" s="28"/>
      <c r="B63" s="28"/>
      <c r="C63" s="28"/>
      <c r="D63" s="107" t="s">
        <v>4235</v>
      </c>
      <c r="E63" s="6"/>
      <c r="F63" s="7"/>
      <c r="G63" s="1"/>
      <c r="H63" s="6"/>
      <c r="I63" s="28"/>
      <c r="J63" s="28"/>
      <c r="K63" s="28"/>
      <c r="L63" s="28"/>
      <c r="M63" s="28"/>
      <c r="N63" s="28"/>
      <c r="O63" s="28"/>
    </row>
    <row r="64" spans="1:15" ht="12.75" customHeight="1" x14ac:dyDescent="0.35">
      <c r="A64" s="28"/>
      <c r="B64" s="28"/>
      <c r="C64" s="28"/>
      <c r="D64" s="107" t="s">
        <v>4236</v>
      </c>
      <c r="E64" s="6"/>
      <c r="F64" s="7"/>
      <c r="G64" s="1"/>
      <c r="H64" s="6"/>
      <c r="I64" s="28"/>
      <c r="J64" s="28"/>
      <c r="K64" s="28"/>
      <c r="L64" s="28"/>
      <c r="M64" s="28"/>
      <c r="N64" s="28"/>
      <c r="O64" s="28"/>
    </row>
    <row r="65" spans="1:15" ht="12.75" customHeight="1" x14ac:dyDescent="0.35">
      <c r="A65" s="28"/>
      <c r="B65" s="28"/>
      <c r="C65" s="28"/>
      <c r="D65" s="6" t="str">
        <f ca="1">IF(ResultControlValue&lt;0,"Värdeminskningsförlust","Kontrollvärde")&amp;" (B - A)"</f>
        <v>Kontrollvärde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4237</v>
      </c>
      <c r="E67" s="28"/>
      <c r="F67" s="28"/>
      <c r="G67" s="28"/>
      <c r="H67" s="28"/>
      <c r="I67" s="28"/>
      <c r="J67" s="28"/>
      <c r="K67" s="28"/>
      <c r="L67" s="28"/>
      <c r="M67" s="28"/>
      <c r="N67" s="28"/>
      <c r="O67" s="28"/>
    </row>
    <row r="68" spans="1:15" ht="12.75" customHeight="1" x14ac:dyDescent="0.35">
      <c r="A68" s="28"/>
      <c r="B68" s="28"/>
      <c r="C68" s="28"/>
      <c r="D68" s="105" t="s">
        <v>4238</v>
      </c>
      <c r="E68" s="28"/>
      <c r="F68" s="28"/>
      <c r="G68" s="28"/>
      <c r="H68" s="28"/>
      <c r="I68" s="28"/>
      <c r="J68" s="28"/>
      <c r="K68" s="28"/>
      <c r="L68" s="28"/>
      <c r="M68" s="28"/>
      <c r="N68" s="28"/>
      <c r="O68" s="28"/>
    </row>
    <row r="69" spans="1:15" ht="12.75" customHeight="1" x14ac:dyDescent="0.35">
      <c r="A69" s="28"/>
      <c r="B69" s="28"/>
      <c r="C69" s="28"/>
      <c r="D69" s="28" t="s">
        <v>4239</v>
      </c>
      <c r="E69" s="28"/>
      <c r="F69" s="28"/>
      <c r="G69" s="28"/>
      <c r="H69" s="28"/>
      <c r="I69" s="28"/>
      <c r="J69" s="28"/>
      <c r="K69" s="28"/>
      <c r="L69" s="28"/>
      <c r="M69" s="28"/>
      <c r="N69" s="28"/>
      <c r="O69" s="28"/>
    </row>
    <row r="70" spans="1:15" ht="12.75" customHeight="1" x14ac:dyDescent="0.35">
      <c r="A70" s="28"/>
      <c r="B70" s="28"/>
      <c r="C70" s="28"/>
      <c r="D70" s="28" t="s">
        <v>4240</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4241</v>
      </c>
      <c r="E72" s="28"/>
      <c r="F72" s="28"/>
      <c r="G72" s="28"/>
      <c r="H72" s="28" t="s">
        <v>4242</v>
      </c>
      <c r="I72" s="28"/>
      <c r="J72" s="28"/>
      <c r="K72" s="28"/>
      <c r="L72" s="28"/>
      <c r="M72" s="28"/>
      <c r="N72" s="28"/>
      <c r="O72" s="28"/>
    </row>
    <row r="73" spans="1:15" ht="12.75" customHeight="1" x14ac:dyDescent="0.35">
      <c r="A73" s="28"/>
      <c r="B73" s="28"/>
      <c r="C73" s="28"/>
      <c r="D73" s="28" t="str">
        <f ca="1">"Kumulativt diskonterat fritt kassaflöde "&amp;IF(ISERROR($I$131),"",OFFSET(Calculations!$G$11,0,CalcPointPB))&amp;"-&gt;"&amp;IF(ISERROR(D77),F77,D77)</f>
        <v>Kumulativt diskonterat fritt kassaflöde 9/2019-&gt;</v>
      </c>
      <c r="E73" s="28"/>
      <c r="F73" s="28"/>
      <c r="G73" s="28"/>
      <c r="H73" s="28"/>
      <c r="I73" s="28"/>
      <c r="J73" s="28"/>
      <c r="K73" s="28"/>
      <c r="L73" s="28"/>
      <c r="M73" s="28"/>
      <c r="N73" s="28"/>
      <c r="O73" s="28"/>
    </row>
    <row r="74" spans="1:15" ht="12.75" customHeight="1" x14ac:dyDescent="0.35">
      <c r="A74" s="28"/>
      <c r="B74" s="28"/>
      <c r="C74" s="28"/>
      <c r="D74" s="28" t="str">
        <f ca="1">"Kumulativt diskonterat fritt kassaflöde "&amp;IF(ISERROR($I$131),"",OFFSET(Calculations!$G$11,0,CalcPointPB))&amp;"-&gt;"&amp;IF(ISERROR(E77),F77,IF(E77=D77,F77,E77))</f>
        <v>Kumulativt diskonterat fritt kassaflöde 9/2019-&gt;</v>
      </c>
      <c r="E74" s="28"/>
      <c r="F74" s="28"/>
      <c r="G74" s="28"/>
      <c r="H74" s="28"/>
      <c r="I74" s="28"/>
      <c r="J74" s="28"/>
      <c r="K74" s="28"/>
      <c r="L74" s="28"/>
      <c r="M74" s="28"/>
      <c r="N74" s="28"/>
      <c r="O74" s="28"/>
    </row>
    <row r="75" spans="1:15" ht="12.75" customHeight="1" x14ac:dyDescent="0.35">
      <c r="A75" s="28"/>
      <c r="B75" s="28"/>
      <c r="C75" s="28"/>
      <c r="D75" s="28" t="s">
        <v>4243</v>
      </c>
      <c r="E75" s="28"/>
      <c r="F75" s="28"/>
      <c r="G75" s="28"/>
      <c r="H75" s="28"/>
      <c r="I75" s="28"/>
      <c r="J75" s="28"/>
      <c r="K75" s="28"/>
      <c r="L75" s="28"/>
      <c r="M75" s="28"/>
      <c r="N75" s="28"/>
      <c r="O75" s="28"/>
    </row>
    <row r="76" spans="1:15" ht="12.75" customHeight="1" x14ac:dyDescent="0.35">
      <c r="A76" s="28"/>
      <c r="B76" s="28"/>
      <c r="C76" s="28"/>
      <c r="D76" s="28" t="s">
        <v>4244</v>
      </c>
      <c r="E76" s="28"/>
      <c r="F76" s="28"/>
      <c r="G76" s="28"/>
      <c r="H76" s="28" t="s">
        <v>4245</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3115</v>
      </c>
      <c r="E78" s="28"/>
      <c r="F78" s="28"/>
      <c r="G78" s="28"/>
      <c r="H78" s="28" t="str">
        <f>"Genomsnitt "&amp;IF(NOT(ISERROR($N78)),$N78&amp;" år","-")</f>
        <v>Genomsnitt  år</v>
      </c>
      <c r="I78" s="28"/>
      <c r="J78" s="28"/>
      <c r="K78" s="28"/>
      <c r="L78" s="28"/>
      <c r="M78" s="28"/>
      <c r="N78" s="28"/>
      <c r="O78" s="28"/>
    </row>
    <row r="79" spans="1:15" ht="12.75" customHeight="1" x14ac:dyDescent="0.35">
      <c r="A79" s="28"/>
      <c r="B79" s="28"/>
      <c r="C79" s="28"/>
      <c r="D79" s="28" t="s">
        <v>3116</v>
      </c>
      <c r="E79" s="28"/>
      <c r="F79" s="28"/>
      <c r="G79" s="28"/>
      <c r="H79" s="28" t="str">
        <f>"Genomsnitt "&amp;IF(NOT(ISERROR($N79)),$N79&amp;" år","-")</f>
        <v>Genomsnitt  år</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3117</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111" t="s">
        <v>4246</v>
      </c>
      <c r="E83" s="111"/>
      <c r="F83" s="112"/>
      <c r="G83" s="2"/>
      <c r="H83" s="2"/>
      <c r="I83" s="28"/>
      <c r="J83" s="28"/>
      <c r="K83" s="28"/>
      <c r="L83" s="28"/>
      <c r="M83" s="28"/>
      <c r="N83" s="28"/>
      <c r="O83" s="28"/>
    </row>
    <row r="84" spans="1:15" ht="12.75" customHeight="1" x14ac:dyDescent="0.35">
      <c r="A84" s="28"/>
      <c r="B84" s="28"/>
      <c r="C84" s="28"/>
      <c r="D84" s="111" t="s">
        <v>4247</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4248</v>
      </c>
      <c r="E86" s="111"/>
      <c r="F86" s="112"/>
      <c r="G86" s="2"/>
      <c r="H86" s="28"/>
      <c r="I86" s="28"/>
      <c r="J86" s="28"/>
      <c r="K86" s="28"/>
      <c r="L86" s="28"/>
      <c r="M86" s="28"/>
      <c r="N86" s="28"/>
      <c r="O86" s="28"/>
    </row>
    <row r="87" spans="1:15" ht="12.75" customHeight="1" x14ac:dyDescent="0.35">
      <c r="A87" s="28"/>
      <c r="B87" s="28"/>
      <c r="C87" s="28"/>
      <c r="D87" s="28" t="str">
        <f ca="1">"Kumulativt diskonterat ekonomiskt mervärde "&amp;IF(ISERROR($I$132),"",OFFSET(Calculations!$G$11,0,CalcPointPB))&amp;"-&gt;"&amp;IF(ISERROR($D$90),$F$90,$D$90)</f>
        <v>Kumulativt diskonterat ekonomiskt mervärde 9/2019-&gt;</v>
      </c>
      <c r="E87" s="111"/>
      <c r="F87" s="112"/>
      <c r="G87" s="2"/>
      <c r="H87" s="2"/>
      <c r="I87" s="28"/>
      <c r="J87" s="28"/>
      <c r="K87" s="28"/>
      <c r="L87" s="28"/>
      <c r="M87" s="28"/>
      <c r="N87" s="28"/>
      <c r="O87" s="28"/>
    </row>
    <row r="88" spans="1:15" ht="12.75" customHeight="1" x14ac:dyDescent="0.35">
      <c r="A88" s="28"/>
      <c r="B88" s="28"/>
      <c r="C88" s="28"/>
      <c r="D88" s="28" t="str">
        <f ca="1">"Kumulativt diskonterat ekonomiskt mervärde "&amp;IF(ISERROR($I$132),"",OFFSET(Calculations!$G$11,0,CalcPointPB))&amp;"-&gt;"&amp;IF(ISERROR($E$90),$F$90,IF($E$90=$D$90,$F$90,$E$90))</f>
        <v>Kumulativt diskonterat ekonomiskt mervärde 9/2019-&gt;</v>
      </c>
      <c r="E88" s="111"/>
      <c r="F88" s="112"/>
      <c r="G88" s="2"/>
      <c r="H88" s="2"/>
      <c r="I88" s="28"/>
      <c r="J88" s="28"/>
      <c r="K88" s="28"/>
      <c r="L88" s="28"/>
      <c r="M88" s="28"/>
      <c r="N88" s="28"/>
      <c r="O88" s="28"/>
    </row>
    <row r="89" spans="1:15" ht="12.75" customHeight="1" x14ac:dyDescent="0.35">
      <c r="A89" s="28"/>
      <c r="B89" s="28"/>
      <c r="C89" s="28"/>
      <c r="D89" s="28" t="s">
        <v>4243</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4249</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4250</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4251</v>
      </c>
      <c r="E95" s="28"/>
      <c r="F95" s="28"/>
      <c r="G95" s="28"/>
      <c r="H95" s="28"/>
      <c r="I95" s="28"/>
      <c r="J95" s="28"/>
      <c r="K95" s="28"/>
      <c r="L95" s="28"/>
      <c r="M95" s="28"/>
      <c r="N95" s="28"/>
      <c r="O95" s="28"/>
    </row>
    <row r="96" spans="1:15" ht="12.75" customHeight="1" x14ac:dyDescent="0.35">
      <c r="A96" s="28"/>
      <c r="B96" s="28"/>
      <c r="C96" s="28"/>
      <c r="D96" s="28" t="s">
        <v>4252</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"Bas för "&amp;IF(PerpetuityLimitationEquity=1,"evig konsol (Perpetuity)","extrapolering")</f>
        <v>Bas för evig konsol (Perpetuity)</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4213</v>
      </c>
      <c r="E100" s="28"/>
      <c r="F100" s="28"/>
      <c r="G100" s="28"/>
      <c r="H100" s="97" t="s">
        <v>4214</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tr">
        <f>"      Mata in årligt värde"&amp;IF(TRIM($J$5)&lt;&gt;""," ("&amp;$J$5&amp;")","")</f>
        <v xml:space="preserve">      Mata in årligt värde</v>
      </c>
      <c r="E102" s="28"/>
      <c r="F102" s="28"/>
      <c r="G102" s="28"/>
      <c r="H102" s="28" t="str">
        <f ca="1">"Basvärde "&amp;Calculations!$Q$632&amp;""</f>
        <v>Basvärde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tr">
        <f>"Typ av "&amp;IF(PerpetuityLimitationEquity=1,"evig konsol","extrapolering")</f>
        <v>Typ av evig konsol</v>
      </c>
      <c r="E104" s="28"/>
      <c r="F104" s="28"/>
      <c r="G104" s="28"/>
      <c r="H104" s="28" t="s">
        <v>4206</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4215</v>
      </c>
      <c r="E106" s="28"/>
      <c r="F106" s="28"/>
      <c r="G106" s="28"/>
      <c r="H106" s="28" t="str">
        <f ca="1">"Värde "&amp;Calculations!$Q$632&amp;""</f>
        <v>Värde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4216</v>
      </c>
      <c r="E108" s="28"/>
      <c r="F108" s="28"/>
      <c r="G108" s="28"/>
      <c r="H108" s="28" t="str">
        <f>"Nuvärde ("&amp;$F$11&amp;")"</f>
        <v>Nuvärde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4253</v>
      </c>
      <c r="E110" s="28"/>
      <c r="F110" s="28"/>
      <c r="G110" s="28"/>
      <c r="H110" s="28"/>
      <c r="I110" s="28"/>
      <c r="J110" s="28"/>
      <c r="K110" s="28"/>
      <c r="L110" s="28"/>
      <c r="M110" s="28"/>
      <c r="N110" s="28"/>
      <c r="O110" s="28"/>
    </row>
    <row r="111" spans="1:15" ht="12.75" customHeight="1" x14ac:dyDescent="0.35">
      <c r="A111" s="28"/>
      <c r="B111" s="28"/>
      <c r="C111" s="28"/>
      <c r="D111" s="28" t="s">
        <v>4254</v>
      </c>
      <c r="E111" s="28"/>
      <c r="F111" s="28"/>
      <c r="G111" s="28"/>
      <c r="H111" s="28"/>
      <c r="I111" s="28"/>
      <c r="J111" s="28"/>
      <c r="K111" s="28"/>
      <c r="L111" s="28"/>
      <c r="M111" s="28"/>
      <c r="N111" s="28"/>
      <c r="O111" s="28"/>
    </row>
    <row r="112" spans="1:15" ht="12.75" customHeight="1" x14ac:dyDescent="0.35">
      <c r="A112" s="28"/>
      <c r="B112" s="28"/>
      <c r="C112" s="28"/>
      <c r="D112" s="111" t="s">
        <v>4255</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4256</v>
      </c>
      <c r="E114" s="28"/>
      <c r="F114" s="28"/>
      <c r="G114" s="28"/>
      <c r="H114" s="28"/>
      <c r="I114" s="28"/>
      <c r="J114" s="28"/>
      <c r="K114" s="28"/>
      <c r="L114" s="28"/>
      <c r="M114" s="28"/>
      <c r="N114" s="28"/>
      <c r="O114" s="28"/>
    </row>
    <row r="115" spans="1:15" ht="12.75" customHeight="1" x14ac:dyDescent="0.35">
      <c r="A115" s="28"/>
      <c r="B115" s="28"/>
      <c r="C115" s="28"/>
      <c r="D115" s="105" t="s">
        <v>4257</v>
      </c>
      <c r="E115" s="28"/>
      <c r="F115" s="28"/>
      <c r="G115" s="28"/>
      <c r="H115" s="28"/>
      <c r="I115" s="28"/>
      <c r="J115" s="28"/>
      <c r="K115" s="28"/>
      <c r="L115" s="28"/>
      <c r="M115" s="28"/>
      <c r="N115" s="28"/>
      <c r="O115" s="28"/>
    </row>
    <row r="116" spans="1:15" ht="12.75" customHeight="1" x14ac:dyDescent="0.35">
      <c r="A116" s="28"/>
      <c r="B116" s="28"/>
      <c r="C116" s="28"/>
      <c r="D116" s="28" t="s">
        <v>4258</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4259</v>
      </c>
      <c r="E118" s="28"/>
      <c r="F118" s="28"/>
      <c r="G118" s="28"/>
      <c r="H118" s="28" t="s">
        <v>4260</v>
      </c>
      <c r="I118" s="28"/>
      <c r="J118" s="28"/>
      <c r="K118" s="28"/>
      <c r="L118" s="28"/>
      <c r="M118" s="28"/>
      <c r="N118" s="28"/>
      <c r="O118" s="28"/>
    </row>
    <row r="119" spans="1:15" ht="12.75" customHeight="1" x14ac:dyDescent="0.35">
      <c r="A119" s="28"/>
      <c r="B119" s="28"/>
      <c r="C119" s="28"/>
      <c r="D119" s="28" t="str">
        <f ca="1">"Kumulativt diskonterat FCFE "&amp;IF(ISERROR($G$131),"",OFFSET(Calculations!$G$11,0,CalcPointPB))&amp;"-&gt;"&amp;IF(ISERROR($D$123),$F$123,$D$123)</f>
        <v>Kumulativt diskonterat FCFE 9/2019-&gt;</v>
      </c>
      <c r="E119" s="28"/>
      <c r="F119" s="28"/>
      <c r="G119" s="28"/>
      <c r="H119" s="28"/>
      <c r="I119" s="28"/>
      <c r="J119" s="28"/>
      <c r="K119" s="28"/>
      <c r="L119" s="28"/>
      <c r="M119" s="28"/>
      <c r="N119" s="28"/>
      <c r="O119" s="28"/>
    </row>
    <row r="120" spans="1:15" ht="12.75" customHeight="1" x14ac:dyDescent="0.35">
      <c r="A120" s="28"/>
      <c r="B120" s="28"/>
      <c r="C120" s="28"/>
      <c r="D120" s="28" t="str">
        <f ca="1">"Kumulativt diskonterat FCFE "&amp;IF(ISERROR($G$131),"",OFFSET(Calculations!$G$11,0,CalcPointPB))&amp;"-&gt;"&amp;IF(ISERROR($E$123),$F$123,IF($E$123=$D$123,$F$123,$E$123))</f>
        <v>Kumulativt diskonterat FCFE 9/2019-&gt;</v>
      </c>
      <c r="E120" s="28"/>
      <c r="F120" s="28"/>
      <c r="G120" s="28"/>
      <c r="H120" s="28"/>
      <c r="I120" s="28"/>
      <c r="J120" s="28"/>
      <c r="K120" s="28"/>
      <c r="L120" s="28"/>
      <c r="M120" s="28"/>
      <c r="N120" s="28"/>
      <c r="O120" s="28"/>
    </row>
    <row r="121" spans="1:15" ht="12.75" customHeight="1" x14ac:dyDescent="0.35">
      <c r="A121" s="28"/>
      <c r="B121" s="28"/>
      <c r="C121" s="28"/>
      <c r="D121" s="28" t="s">
        <v>4243</v>
      </c>
      <c r="E121" s="28"/>
      <c r="F121" s="28"/>
      <c r="G121" s="28"/>
      <c r="I121" s="28"/>
      <c r="J121" s="28"/>
      <c r="K121" s="28"/>
      <c r="L121" s="28"/>
      <c r="M121" s="28"/>
      <c r="N121" s="28"/>
      <c r="O121" s="28"/>
    </row>
    <row r="122" spans="1:15" ht="12.75" customHeight="1" x14ac:dyDescent="0.35">
      <c r="A122" s="28"/>
      <c r="B122" s="28"/>
      <c r="C122" s="28"/>
      <c r="D122" s="28" t="s">
        <v>4261</v>
      </c>
      <c r="E122" s="28"/>
      <c r="F122" s="28"/>
      <c r="G122" s="28"/>
      <c r="H122" s="28" t="s">
        <v>4262</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4263</v>
      </c>
      <c r="E125" s="28"/>
      <c r="F125" s="28"/>
      <c r="G125" s="28"/>
      <c r="H125" s="28"/>
      <c r="I125" s="28"/>
      <c r="J125" s="28"/>
      <c r="K125" s="28"/>
      <c r="L125" s="28"/>
      <c r="M125" s="28"/>
      <c r="N125" s="28"/>
      <c r="O125" s="28"/>
    </row>
    <row r="126" spans="1:15" ht="12.75" customHeight="1" x14ac:dyDescent="0.35">
      <c r="A126" s="28"/>
      <c r="B126" s="28"/>
      <c r="C126" s="28"/>
      <c r="D126" s="28" t="s">
        <v>4264</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4265</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pageSetUpPr autoPageBreaks="0"/>
  </sheetPr>
  <dimension ref="A1:O130"/>
  <sheetViews>
    <sheetView workbookViewId="0">
      <selection activeCell="D35" sqref="D35"/>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4266</v>
      </c>
      <c r="D1" s="28"/>
      <c r="E1" s="28"/>
      <c r="F1" s="28"/>
      <c r="G1" s="28"/>
      <c r="H1" s="28"/>
      <c r="I1" s="28"/>
      <c r="K1" s="28"/>
      <c r="L1" s="28"/>
      <c r="M1" s="28"/>
      <c r="N1" s="28" t="s">
        <v>4267</v>
      </c>
      <c r="O1" s="28" t="s">
        <v>4268</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4269</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132" t="s">
        <v>5099</v>
      </c>
      <c r="E5" s="28"/>
      <c r="F5" s="28"/>
      <c r="G5" s="28"/>
      <c r="H5" s="28"/>
      <c r="I5" s="28"/>
      <c r="J5" s="28"/>
      <c r="K5" s="28"/>
      <c r="L5" s="28"/>
      <c r="M5" s="28"/>
      <c r="N5" s="28"/>
      <c r="O5" s="28"/>
    </row>
    <row r="6" spans="1:15" ht="12.75" customHeight="1" x14ac:dyDescent="0.35">
      <c r="A6" s="28"/>
      <c r="B6" s="28"/>
      <c r="C6" s="28"/>
      <c r="D6" s="28" t="s">
        <v>5105</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4270</v>
      </c>
      <c r="E8" s="28"/>
      <c r="F8" s="28"/>
      <c r="G8" s="28"/>
      <c r="H8" s="28" t="s">
        <v>4271</v>
      </c>
      <c r="I8" s="28"/>
      <c r="J8" s="28"/>
      <c r="K8" s="28"/>
      <c r="L8" s="28"/>
      <c r="M8" s="28"/>
      <c r="N8" s="28"/>
      <c r="O8" s="28"/>
    </row>
    <row r="9" spans="1:15" ht="12.75" customHeight="1" x14ac:dyDescent="0.35">
      <c r="A9" s="28"/>
      <c r="B9" s="28"/>
      <c r="C9" s="28"/>
      <c r="D9" s="28" t="s">
        <v>4272</v>
      </c>
      <c r="E9" s="28"/>
      <c r="F9" s="28"/>
      <c r="G9" s="28"/>
      <c r="H9" s="28"/>
      <c r="I9" s="28"/>
      <c r="J9" s="28"/>
      <c r="K9" s="28"/>
      <c r="L9" s="28"/>
      <c r="M9" s="28"/>
      <c r="N9" s="28"/>
      <c r="O9" s="28"/>
    </row>
    <row r="10" spans="1:15" ht="12.75" customHeight="1" x14ac:dyDescent="0.35">
      <c r="A10" s="28"/>
      <c r="B10" s="28"/>
      <c r="C10" s="28"/>
      <c r="D10" s="28" t="s">
        <v>4273</v>
      </c>
      <c r="E10" s="28"/>
      <c r="F10" s="28"/>
      <c r="G10" s="28"/>
      <c r="H10" s="28" t="s">
        <v>2707</v>
      </c>
      <c r="I10" s="28"/>
      <c r="J10" s="28"/>
      <c r="K10" s="28"/>
      <c r="L10" s="28"/>
      <c r="M10" s="28"/>
      <c r="N10" s="28"/>
      <c r="O10" s="28"/>
    </row>
    <row r="11" spans="1:15" ht="12.75" customHeight="1" x14ac:dyDescent="0.35">
      <c r="A11" s="28"/>
      <c r="B11" s="28"/>
      <c r="C11" s="28"/>
      <c r="D11" s="28" t="s">
        <v>4274</v>
      </c>
      <c r="E11" s="28"/>
      <c r="F11" s="28"/>
      <c r="G11" s="28"/>
      <c r="H11" s="28" t="str">
        <f>"(Am "&amp;IF(CalcPoint=0,"Anfang","Ende")&amp;" der Periode)"</f>
        <v>(Am Anfang der Periode)</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4275</v>
      </c>
      <c r="E14" s="28"/>
      <c r="F14" s="28"/>
      <c r="G14" s="28"/>
      <c r="H14" s="28" t="s">
        <v>4276</v>
      </c>
      <c r="I14" s="28"/>
      <c r="J14" s="28"/>
      <c r="K14" s="28"/>
      <c r="L14" s="28"/>
      <c r="M14" s="28"/>
      <c r="N14" s="28"/>
      <c r="O14" s="28"/>
    </row>
    <row r="15" spans="1:15" ht="12.75" customHeight="1" x14ac:dyDescent="0.35">
      <c r="A15" s="28"/>
      <c r="B15" s="28"/>
      <c r="C15" s="28"/>
      <c r="D15" s="28" t="s">
        <v>4277</v>
      </c>
      <c r="E15" s="28"/>
      <c r="F15" s="28"/>
      <c r="G15" s="28"/>
      <c r="H15" s="28"/>
      <c r="I15" s="28"/>
      <c r="J15" s="28"/>
      <c r="K15" s="28"/>
      <c r="L15" s="28"/>
      <c r="M15" s="28"/>
      <c r="N15" s="28"/>
      <c r="O15" s="28"/>
    </row>
    <row r="16" spans="1:15" ht="12.75" customHeight="1" x14ac:dyDescent="0.35">
      <c r="A16" s="28"/>
      <c r="B16" s="28"/>
      <c r="C16" s="28"/>
      <c r="D16" s="28" t="s">
        <v>4278</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"Basis für "&amp;IF(PerpetuityLimitation=1,"Fortführungswert (Perpetuity)","Extrapolation")</f>
        <v>Basis für Fortführungswert (Perpetuity)</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4279</v>
      </c>
      <c r="E20" s="28"/>
      <c r="F20" s="28"/>
      <c r="G20" s="28"/>
      <c r="H20" s="97" t="s">
        <v>5109</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
        <v>4280</v>
      </c>
      <c r="E22" s="28"/>
      <c r="F22" s="28"/>
      <c r="G22" s="28"/>
      <c r="H22" s="28" t="str">
        <f ca="1">"Basis "&amp;Calculations!$Q$632&amp;""</f>
        <v>Basis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
        <v>4281</v>
      </c>
      <c r="E24" s="28"/>
      <c r="F24" s="28"/>
      <c r="G24" s="28"/>
      <c r="H24" s="28" t="s">
        <v>5110</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4282</v>
      </c>
      <c r="E26" s="28"/>
      <c r="F26" s="28"/>
      <c r="G26" s="28"/>
      <c r="H26" s="28" t="str">
        <f ca="1">"Wert "&amp;Calculations!$Q$632&amp;""</f>
        <v>Wert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4283</v>
      </c>
      <c r="E28" s="28"/>
      <c r="F28" s="28"/>
      <c r="G28" s="28"/>
      <c r="H28" s="28" t="str">
        <f>"Barwert ("&amp;$F$11&amp;")"</f>
        <v>Barwert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5111</v>
      </c>
      <c r="E31" s="28"/>
      <c r="F31" s="28"/>
      <c r="G31" s="28"/>
      <c r="H31" s="105" t="s">
        <v>2521</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4275</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5334</v>
      </c>
      <c r="E35" s="28"/>
      <c r="F35" s="28"/>
      <c r="G35" s="28"/>
      <c r="H35" s="28"/>
      <c r="I35" s="28"/>
      <c r="J35" s="28"/>
      <c r="K35" s="28"/>
      <c r="L35" s="28"/>
      <c r="M35" s="28"/>
      <c r="N35" s="28"/>
      <c r="O35" s="28"/>
    </row>
    <row r="36" spans="1:15" ht="12.75" customHeight="1" x14ac:dyDescent="0.35">
      <c r="A36" s="28"/>
      <c r="B36" s="28"/>
      <c r="C36" s="28"/>
      <c r="D36" s="28" t="s">
        <v>4284</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4285</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5112</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4286</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4287</v>
      </c>
      <c r="E51" s="28" t="s">
        <v>4288</v>
      </c>
      <c r="F51" s="28" t="s">
        <v>4289</v>
      </c>
      <c r="G51" s="28"/>
      <c r="H51" s="28"/>
      <c r="I51" s="28"/>
      <c r="J51" s="28"/>
      <c r="K51" s="28"/>
      <c r="L51" s="28"/>
      <c r="M51" s="28"/>
      <c r="N51" s="28"/>
      <c r="O51" s="28"/>
    </row>
    <row r="52" spans="1:15" ht="12.75" customHeight="1" x14ac:dyDescent="0.35">
      <c r="A52" s="28"/>
      <c r="B52" s="28"/>
      <c r="C52" s="28"/>
      <c r="D52" s="28" t="s">
        <v>4290</v>
      </c>
      <c r="E52" s="28"/>
      <c r="F52" s="28"/>
      <c r="G52" s="28"/>
      <c r="H52" s="28"/>
      <c r="I52" s="28"/>
      <c r="J52" s="28"/>
      <c r="K52" s="28"/>
      <c r="L52" s="28"/>
      <c r="M52" s="28"/>
      <c r="N52" s="28"/>
      <c r="O52" s="28"/>
    </row>
    <row r="53" spans="1:15" ht="12.75" customHeight="1" x14ac:dyDescent="0.35">
      <c r="A53" s="28"/>
      <c r="B53" s="28"/>
      <c r="C53" s="28"/>
      <c r="D53" s="28" t="s">
        <v>4291</v>
      </c>
      <c r="E53" s="28"/>
      <c r="F53" s="28"/>
      <c r="G53" s="28"/>
      <c r="H53" s="28"/>
      <c r="I53" s="28"/>
      <c r="J53" s="28"/>
      <c r="K53" s="28"/>
      <c r="L53" s="28"/>
      <c r="M53" s="28"/>
      <c r="N53" s="28"/>
      <c r="O53" s="28"/>
    </row>
    <row r="54" spans="1:15" ht="12.75" customHeight="1" x14ac:dyDescent="0.35">
      <c r="A54" s="28"/>
      <c r="B54" s="28"/>
      <c r="C54" s="28"/>
      <c r="D54" s="28" t="s">
        <v>4292</v>
      </c>
      <c r="E54" s="28"/>
      <c r="F54" s="28"/>
      <c r="G54" s="28"/>
      <c r="H54" s="28"/>
      <c r="I54" s="28"/>
      <c r="J54" s="28"/>
      <c r="K54" s="28"/>
      <c r="L54" s="28"/>
      <c r="M54" s="28"/>
      <c r="N54" s="28"/>
      <c r="O54" s="28"/>
    </row>
    <row r="55" spans="1:15" ht="12.75" customHeight="1" x14ac:dyDescent="0.35">
      <c r="A55" s="28"/>
      <c r="B55" s="28"/>
      <c r="C55" s="28"/>
      <c r="D55" s="28" t="s">
        <v>4287</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4293</v>
      </c>
      <c r="B57" s="28"/>
      <c r="C57" s="28"/>
      <c r="D57" s="28" t="s">
        <v>4294</v>
      </c>
      <c r="E57" s="28"/>
      <c r="F57" s="28"/>
      <c r="G57" s="28"/>
      <c r="H57" s="28"/>
      <c r="I57" s="28"/>
      <c r="J57" s="28"/>
      <c r="K57" s="28"/>
      <c r="L57" s="28"/>
      <c r="M57" s="28"/>
      <c r="N57" s="28"/>
      <c r="O57" s="28"/>
    </row>
    <row r="58" spans="1:15" ht="12.75" customHeight="1" x14ac:dyDescent="0.35">
      <c r="A58" s="28" t="s">
        <v>4295</v>
      </c>
      <c r="B58" s="28"/>
      <c r="C58" s="28"/>
      <c r="D58" s="111" t="s">
        <v>4296</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4297</v>
      </c>
      <c r="E60" s="6"/>
      <c r="F60" s="7"/>
      <c r="G60" s="1"/>
      <c r="H60" s="6" t="s">
        <v>4298</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115" t="s">
        <v>3443</v>
      </c>
      <c r="E62" s="6"/>
      <c r="F62" s="7"/>
      <c r="G62" s="1"/>
      <c r="H62" s="6"/>
      <c r="I62" s="28"/>
      <c r="J62" s="28"/>
      <c r="K62" s="28"/>
      <c r="L62" s="28"/>
      <c r="M62" s="28"/>
      <c r="N62" s="28"/>
      <c r="O62" s="28"/>
    </row>
    <row r="63" spans="1:15" ht="12.75" customHeight="1" x14ac:dyDescent="0.35">
      <c r="A63" s="28"/>
      <c r="B63" s="28"/>
      <c r="C63" s="28"/>
      <c r="D63" s="107" t="s">
        <v>4299</v>
      </c>
      <c r="E63" s="6"/>
      <c r="F63" s="7"/>
      <c r="G63" s="1"/>
      <c r="H63" s="6"/>
      <c r="I63" s="28"/>
      <c r="J63" s="28"/>
      <c r="K63" s="28"/>
      <c r="L63" s="28"/>
      <c r="M63" s="28"/>
      <c r="N63" s="28"/>
      <c r="O63" s="28"/>
    </row>
    <row r="64" spans="1:15" ht="12.75" customHeight="1" x14ac:dyDescent="0.35">
      <c r="A64" s="28"/>
      <c r="B64" s="28"/>
      <c r="C64" s="28"/>
      <c r="D64" s="6" t="s">
        <v>4300</v>
      </c>
      <c r="E64" s="6"/>
      <c r="F64" s="7"/>
      <c r="G64" s="1"/>
      <c r="H64" s="6"/>
      <c r="I64" s="28"/>
      <c r="J64" s="28"/>
      <c r="K64" s="28"/>
      <c r="L64" s="28"/>
      <c r="M64" s="28"/>
      <c r="N64" s="28"/>
      <c r="O64" s="28"/>
    </row>
    <row r="65" spans="1:15" ht="12.75" customHeight="1" x14ac:dyDescent="0.35">
      <c r="A65" s="28"/>
      <c r="B65" s="28"/>
      <c r="C65" s="28"/>
      <c r="D65" s="6" t="str">
        <f ca="1">IF(ResultControlValue&lt;0,"Wertverlust","Kontrollwert")&amp;" (B - A)"</f>
        <v>Kontrollwert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4301</v>
      </c>
      <c r="E67" s="28"/>
      <c r="F67" s="28"/>
      <c r="G67" s="28"/>
      <c r="H67" s="28"/>
      <c r="I67" s="28"/>
      <c r="J67" s="28"/>
      <c r="K67" s="28"/>
      <c r="L67" s="28"/>
      <c r="M67" s="28"/>
      <c r="N67" s="28"/>
      <c r="O67" s="28"/>
    </row>
    <row r="68" spans="1:15" ht="12.75" customHeight="1" x14ac:dyDescent="0.35">
      <c r="A68" s="28"/>
      <c r="B68" s="28"/>
      <c r="C68" s="28"/>
      <c r="D68" s="105" t="s">
        <v>4302</v>
      </c>
      <c r="E68" s="28"/>
      <c r="F68" s="28"/>
      <c r="G68" s="28"/>
      <c r="H68" s="28"/>
      <c r="I68" s="28"/>
      <c r="J68" s="28"/>
      <c r="K68" s="28"/>
      <c r="L68" s="28"/>
      <c r="M68" s="28"/>
      <c r="N68" s="28"/>
      <c r="O68" s="28"/>
    </row>
    <row r="69" spans="1:15" ht="12.75" customHeight="1" x14ac:dyDescent="0.35">
      <c r="A69" s="28"/>
      <c r="B69" s="28"/>
      <c r="C69" s="28"/>
      <c r="D69" s="28" t="s">
        <v>4303</v>
      </c>
      <c r="E69" s="28"/>
      <c r="F69" s="28"/>
      <c r="G69" s="28"/>
      <c r="H69" s="28"/>
      <c r="I69" s="28"/>
      <c r="J69" s="28"/>
      <c r="K69" s="28"/>
      <c r="L69" s="28"/>
      <c r="M69" s="28"/>
      <c r="N69" s="28"/>
      <c r="O69" s="28"/>
    </row>
    <row r="70" spans="1:15" ht="12.75" customHeight="1" x14ac:dyDescent="0.35">
      <c r="A70" s="28"/>
      <c r="B70" s="28"/>
      <c r="C70" s="28"/>
      <c r="D70" s="28" t="s">
        <v>4304</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4305</v>
      </c>
      <c r="E72" s="28"/>
      <c r="F72" s="28"/>
      <c r="G72" s="28"/>
      <c r="H72" s="28" t="s">
        <v>4306</v>
      </c>
      <c r="I72" s="28"/>
      <c r="J72" s="28"/>
      <c r="K72" s="28"/>
      <c r="L72" s="28"/>
      <c r="M72" s="28"/>
      <c r="N72" s="28"/>
      <c r="O72" s="28"/>
    </row>
    <row r="73" spans="1:15" ht="12.75" customHeight="1" x14ac:dyDescent="0.35">
      <c r="A73" s="28"/>
      <c r="B73" s="28"/>
      <c r="C73" s="28"/>
      <c r="D73" s="28" t="str">
        <f ca="1">"Kumulierter diskontierter Free Cash Flow "&amp;IF(ISERROR($I$131),"",OFFSET(Calculations!$G$11,0,CalcPointPB))&amp;"-&gt;"&amp;IF(ISERROR(D77),F77,D77)</f>
        <v>Kumulierter diskontierter Free Cash Flow 9/2019-&gt;</v>
      </c>
      <c r="E73" s="28"/>
      <c r="F73" s="28"/>
      <c r="G73" s="28"/>
      <c r="H73" s="28"/>
      <c r="I73" s="28"/>
      <c r="J73" s="28"/>
      <c r="K73" s="28"/>
      <c r="L73" s="28"/>
      <c r="M73" s="28"/>
      <c r="N73" s="28"/>
      <c r="O73" s="28"/>
    </row>
    <row r="74" spans="1:15" ht="12.75" customHeight="1" x14ac:dyDescent="0.35">
      <c r="A74" s="28"/>
      <c r="B74" s="28"/>
      <c r="C74" s="28"/>
      <c r="D74" s="28" t="str">
        <f ca="1">"Kumulierter diskontierter Free Cash Flow "&amp;IF(ISERROR($I$131),"",OFFSET(Calculations!$G$11,0,CalcPointPB))&amp;"-&gt;"&amp;IF(ISERROR(E77),F77,IF(E77=D77,F77,E77))</f>
        <v>Kumulierter diskontierter Free Cash Flow 9/2019-&gt;</v>
      </c>
      <c r="E74" s="28"/>
      <c r="F74" s="28"/>
      <c r="G74" s="28"/>
      <c r="H74" s="28"/>
      <c r="I74" s="28"/>
      <c r="J74" s="28"/>
      <c r="K74" s="28"/>
      <c r="L74" s="28"/>
      <c r="M74" s="28"/>
      <c r="N74" s="28"/>
      <c r="O74" s="28"/>
    </row>
    <row r="75" spans="1:15" ht="12.75" customHeight="1" x14ac:dyDescent="0.35">
      <c r="A75" s="28"/>
      <c r="B75" s="28"/>
      <c r="C75" s="28"/>
      <c r="D75" s="28" t="s">
        <v>4307</v>
      </c>
      <c r="E75" s="28"/>
      <c r="F75" s="28"/>
      <c r="G75" s="28"/>
      <c r="H75" s="28"/>
      <c r="I75" s="28"/>
      <c r="J75" s="28"/>
      <c r="K75" s="28"/>
      <c r="L75" s="28"/>
      <c r="M75" s="28"/>
      <c r="N75" s="28"/>
      <c r="O75" s="28"/>
    </row>
    <row r="76" spans="1:15" ht="12.75" customHeight="1" x14ac:dyDescent="0.35">
      <c r="A76" s="28"/>
      <c r="B76" s="28"/>
      <c r="C76" s="28"/>
      <c r="D76" s="28" t="s">
        <v>4308</v>
      </c>
      <c r="E76" s="28"/>
      <c r="F76" s="28"/>
      <c r="G76" s="28"/>
      <c r="H76" s="28" t="s">
        <v>4309</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3317</v>
      </c>
      <c r="E78" s="28"/>
      <c r="F78" s="28"/>
      <c r="G78" s="28"/>
      <c r="H78" s="28" t="str">
        <f>"durchschnittlich "&amp;IF(NOT(ISERROR($N78)),$N78&amp;" Jahre","-")</f>
        <v>durchschnittlich  Jahre</v>
      </c>
      <c r="I78" s="28"/>
      <c r="J78" s="28"/>
      <c r="K78" s="28"/>
      <c r="L78" s="28"/>
      <c r="M78" s="28"/>
      <c r="N78" s="28"/>
      <c r="O78" s="28"/>
    </row>
    <row r="79" spans="1:15" ht="12.75" customHeight="1" x14ac:dyDescent="0.35">
      <c r="A79" s="28"/>
      <c r="B79" s="28"/>
      <c r="C79" s="28"/>
      <c r="D79" s="28" t="s">
        <v>3318</v>
      </c>
      <c r="E79" s="28"/>
      <c r="F79" s="28"/>
      <c r="G79" s="28"/>
      <c r="H79" s="28" t="str">
        <f>"durchschnittlich "&amp;IF(NOT(ISERROR($N79)),$N79&amp;" Jahre","-")</f>
        <v>durchschnittlich  Jahre</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3319</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111" t="s">
        <v>4310</v>
      </c>
      <c r="E83" s="111"/>
      <c r="F83" s="112"/>
      <c r="G83" s="2"/>
      <c r="H83" s="2"/>
      <c r="I83" s="28"/>
      <c r="J83" s="28"/>
      <c r="K83" s="28"/>
      <c r="L83" s="28"/>
      <c r="M83" s="28"/>
      <c r="N83" s="28"/>
      <c r="O83" s="28"/>
    </row>
    <row r="84" spans="1:15" ht="12.75" customHeight="1" x14ac:dyDescent="0.35">
      <c r="A84" s="28"/>
      <c r="B84" s="28"/>
      <c r="C84" s="28"/>
      <c r="D84" s="111" t="s">
        <v>4311</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4312</v>
      </c>
      <c r="E86" s="111"/>
      <c r="F86" s="112"/>
      <c r="G86" s="2"/>
      <c r="H86" s="2"/>
      <c r="I86" s="28"/>
      <c r="J86" s="28"/>
      <c r="K86" s="28"/>
      <c r="L86" s="28"/>
      <c r="M86" s="28"/>
      <c r="N86" s="28"/>
      <c r="O86" s="28"/>
    </row>
    <row r="87" spans="1:15" ht="12.75" customHeight="1" x14ac:dyDescent="0.35">
      <c r="A87" s="28"/>
      <c r="B87" s="28"/>
      <c r="C87" s="28"/>
      <c r="D87" s="28" t="str">
        <f ca="1">"Kumulierter DCVA "&amp;IF(ISERROR($I$132),"",OFFSET(Calculations!$G$11,0,CalcPointPB))&amp;"-&gt;"&amp;IF(ISERROR($D$90),$F$90,$D$90)</f>
        <v>Kumulierter DCVA 9/2019-&gt;</v>
      </c>
      <c r="E87" s="111"/>
      <c r="F87" s="112"/>
      <c r="G87" s="2"/>
      <c r="H87" s="2"/>
      <c r="I87" s="28"/>
      <c r="J87" s="28"/>
      <c r="K87" s="28"/>
      <c r="L87" s="28"/>
      <c r="M87" s="28"/>
      <c r="N87" s="28"/>
      <c r="O87" s="28"/>
    </row>
    <row r="88" spans="1:15" ht="12.75" customHeight="1" x14ac:dyDescent="0.35">
      <c r="A88" s="28"/>
      <c r="B88" s="28"/>
      <c r="C88" s="28"/>
      <c r="D88" s="28" t="str">
        <f ca="1">"Kumulierter DCVA "&amp;IF(ISERROR($I$132),"",OFFSET(Calculations!$G$11,0,CalcPointPB))&amp;"-&gt;"&amp;IF(ISERROR($E$90),$F$90,IF($E$90=$D$90,$F$90,$E$90))</f>
        <v>Kumulierter DCVA 9/2019-&gt;</v>
      </c>
      <c r="E88" s="111"/>
      <c r="F88" s="112"/>
      <c r="G88" s="2"/>
      <c r="H88" s="2"/>
      <c r="I88" s="28"/>
      <c r="J88" s="28"/>
      <c r="K88" s="28"/>
      <c r="L88" s="28"/>
      <c r="M88" s="28"/>
      <c r="N88" s="28"/>
      <c r="O88" s="28"/>
    </row>
    <row r="89" spans="1:15" ht="12.75" customHeight="1" x14ac:dyDescent="0.35">
      <c r="A89" s="28"/>
      <c r="B89" s="28"/>
      <c r="C89" s="28"/>
      <c r="D89" s="28" t="s">
        <v>4307</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5106</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4313</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4314</v>
      </c>
      <c r="E95" s="28"/>
      <c r="F95" s="28"/>
      <c r="G95" s="28"/>
      <c r="H95" s="28"/>
      <c r="I95" s="28"/>
      <c r="J95" s="28"/>
      <c r="K95" s="28"/>
      <c r="L95" s="28"/>
      <c r="M95" s="28"/>
      <c r="N95" s="28"/>
      <c r="O95" s="28"/>
    </row>
    <row r="96" spans="1:15" ht="12.75" customHeight="1" x14ac:dyDescent="0.35">
      <c r="A96" s="28"/>
      <c r="B96" s="28"/>
      <c r="C96" s="28"/>
      <c r="D96" s="28" t="s">
        <v>4315</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"Basis für "&amp;IF(PerpetuityLimitationEquity=1,"Fortführungswert (Perpetuity)","Extrapolation")</f>
        <v>Basis für Fortführungswert (Perpetuity)</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4279</v>
      </c>
      <c r="E100" s="28"/>
      <c r="F100" s="28"/>
      <c r="G100" s="28"/>
      <c r="H100" s="97" t="s">
        <v>5109</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
        <v>4280</v>
      </c>
      <c r="E102" s="28"/>
      <c r="F102" s="28"/>
      <c r="G102" s="28"/>
      <c r="H102" s="28" t="str">
        <f ca="1">"Basis "&amp;Calculations!$Q$632&amp;""</f>
        <v>Basis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
        <v>4281</v>
      </c>
      <c r="E104" s="28"/>
      <c r="F104" s="28"/>
      <c r="G104" s="28"/>
      <c r="H104" s="28" t="s">
        <v>5110</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4282</v>
      </c>
      <c r="E106" s="28"/>
      <c r="F106" s="28"/>
      <c r="G106" s="28"/>
      <c r="H106" s="28" t="str">
        <f ca="1">"Wert "&amp;Calculations!$Q$632&amp;""</f>
        <v>Wert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4283</v>
      </c>
      <c r="E108" s="28"/>
      <c r="F108" s="28"/>
      <c r="G108" s="28"/>
      <c r="H108" s="28" t="str">
        <f>"Barwert ("&amp;$F$11&amp;")"</f>
        <v>Barwert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4316</v>
      </c>
      <c r="E110" s="28"/>
      <c r="F110" s="28"/>
      <c r="G110" s="28"/>
      <c r="H110" s="28"/>
      <c r="I110" s="28"/>
      <c r="J110" s="28"/>
      <c r="K110" s="28"/>
      <c r="L110" s="28"/>
      <c r="M110" s="28"/>
      <c r="N110" s="28"/>
      <c r="O110" s="28"/>
    </row>
    <row r="111" spans="1:15" ht="12.75" customHeight="1" x14ac:dyDescent="0.35">
      <c r="A111" s="28"/>
      <c r="B111" s="28"/>
      <c r="C111" s="28"/>
      <c r="D111" s="28" t="s">
        <v>4317</v>
      </c>
      <c r="E111" s="28"/>
      <c r="F111" s="28"/>
      <c r="G111" s="28"/>
      <c r="H111" s="28"/>
      <c r="I111" s="28"/>
      <c r="J111" s="28"/>
      <c r="K111" s="28"/>
      <c r="L111" s="28"/>
      <c r="M111" s="28"/>
      <c r="N111" s="28"/>
      <c r="O111" s="28"/>
    </row>
    <row r="112" spans="1:15" ht="12.75" customHeight="1" x14ac:dyDescent="0.35">
      <c r="A112" s="28"/>
      <c r="B112" s="28"/>
      <c r="C112" s="28"/>
      <c r="D112" s="28" t="s">
        <v>4318</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4319</v>
      </c>
      <c r="E114" s="28"/>
      <c r="F114" s="28"/>
      <c r="G114" s="28"/>
      <c r="H114" s="28"/>
      <c r="I114" s="28"/>
      <c r="J114" s="28"/>
      <c r="K114" s="28"/>
      <c r="L114" s="28"/>
      <c r="M114" s="28"/>
      <c r="N114" s="28"/>
      <c r="O114" s="28"/>
    </row>
    <row r="115" spans="1:15" ht="12.75" customHeight="1" x14ac:dyDescent="0.35">
      <c r="A115" s="28"/>
      <c r="B115" s="28"/>
      <c r="C115" s="28"/>
      <c r="D115" s="105" t="s">
        <v>4320</v>
      </c>
      <c r="E115" s="28"/>
      <c r="F115" s="28"/>
      <c r="G115" s="28"/>
      <c r="H115" s="28"/>
      <c r="I115" s="28"/>
      <c r="J115" s="28"/>
      <c r="K115" s="28"/>
      <c r="L115" s="28"/>
      <c r="M115" s="28"/>
      <c r="N115" s="28"/>
      <c r="O115" s="28"/>
    </row>
    <row r="116" spans="1:15" ht="12.75" customHeight="1" x14ac:dyDescent="0.35">
      <c r="A116" s="28"/>
      <c r="B116" s="28"/>
      <c r="C116" s="28"/>
      <c r="D116" s="28" t="s">
        <v>4321</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4322</v>
      </c>
      <c r="E118" s="28"/>
      <c r="F118" s="28"/>
      <c r="G118" s="28"/>
      <c r="H118" s="28" t="s">
        <v>4323</v>
      </c>
      <c r="I118" s="28"/>
      <c r="J118" s="28"/>
      <c r="K118" s="28"/>
      <c r="L118" s="28"/>
      <c r="M118" s="28"/>
      <c r="N118" s="28"/>
      <c r="O118" s="28"/>
    </row>
    <row r="119" spans="1:15" ht="12.75" customHeight="1" x14ac:dyDescent="0.35">
      <c r="A119" s="28"/>
      <c r="B119" s="28"/>
      <c r="C119" s="28"/>
      <c r="D119" s="28" t="str">
        <f ca="1">"Diskontierter FCFE kumuliert "&amp;IF(ISERROR($G$131),"",OFFSET(Calculations!$G$11,0,CalcPointPB))&amp;"-&gt;"&amp;IF(ISERROR($D$123),$F$123,$D$123)</f>
        <v>Diskontierter FCFE kumuliert 9/2019-&gt;</v>
      </c>
      <c r="E119" s="28"/>
      <c r="F119" s="28"/>
      <c r="G119" s="28"/>
      <c r="H119" s="28"/>
      <c r="I119" s="28"/>
      <c r="J119" s="28"/>
      <c r="K119" s="28"/>
      <c r="L119" s="28"/>
      <c r="M119" s="28"/>
      <c r="N119" s="28"/>
      <c r="O119" s="28"/>
    </row>
    <row r="120" spans="1:15" ht="12.75" customHeight="1" x14ac:dyDescent="0.35">
      <c r="A120" s="28"/>
      <c r="B120" s="28"/>
      <c r="C120" s="28"/>
      <c r="D120" s="28" t="str">
        <f ca="1">"Diskontierter FCFE kumuliert "&amp;IF(ISERROR($G$131),"",OFFSET(Calculations!$G$11,0,CalcPointPB))&amp;"-&gt;"&amp;IF(ISERROR($E$123),$F$123,IF($E$123=$D$123,$F$123,$E$123))</f>
        <v>Diskontierter FCFE kumuliert 9/2019-&gt;</v>
      </c>
      <c r="E120" s="28"/>
      <c r="F120" s="28"/>
      <c r="G120" s="28"/>
      <c r="H120" s="28"/>
      <c r="I120" s="28"/>
      <c r="J120" s="28"/>
      <c r="K120" s="28"/>
      <c r="L120" s="28"/>
      <c r="M120" s="28"/>
      <c r="N120" s="28"/>
      <c r="O120" s="28"/>
    </row>
    <row r="121" spans="1:15" ht="12.75" customHeight="1" x14ac:dyDescent="0.35">
      <c r="A121" s="28"/>
      <c r="B121" s="28"/>
      <c r="C121" s="28"/>
      <c r="D121" s="28" t="s">
        <v>4307</v>
      </c>
      <c r="E121" s="28"/>
      <c r="F121" s="28"/>
      <c r="G121" s="28"/>
      <c r="I121" s="28"/>
      <c r="J121" s="28"/>
      <c r="K121" s="28"/>
      <c r="L121" s="28"/>
      <c r="M121" s="28"/>
      <c r="N121" s="28"/>
      <c r="O121" s="28"/>
    </row>
    <row r="122" spans="1:15" ht="12.75" customHeight="1" x14ac:dyDescent="0.35">
      <c r="A122" s="28"/>
      <c r="B122" s="28"/>
      <c r="C122" s="28"/>
      <c r="D122" s="28" t="s">
        <v>4324</v>
      </c>
      <c r="E122" s="28"/>
      <c r="F122" s="28"/>
      <c r="G122" s="28"/>
      <c r="H122" s="28" t="s">
        <v>4325</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4326</v>
      </c>
      <c r="E125" s="28"/>
      <c r="F125" s="28"/>
      <c r="G125" s="28"/>
      <c r="H125" s="28"/>
      <c r="I125" s="28"/>
      <c r="J125" s="28"/>
      <c r="K125" s="28"/>
      <c r="L125" s="28"/>
      <c r="M125" s="28"/>
      <c r="N125" s="28"/>
      <c r="O125" s="28"/>
    </row>
    <row r="126" spans="1:15" ht="12.75" customHeight="1" x14ac:dyDescent="0.35">
      <c r="A126" s="28"/>
      <c r="B126" s="28"/>
      <c r="C126" s="28"/>
      <c r="D126" s="28" t="s">
        <v>4327</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4328</v>
      </c>
      <c r="E130" s="28"/>
      <c r="F130" s="28"/>
      <c r="G130" s="28"/>
      <c r="H130" s="28"/>
      <c r="I130" s="28"/>
      <c r="J130" s="28"/>
      <c r="K130" s="28"/>
      <c r="L130" s="28"/>
      <c r="M130" s="28"/>
      <c r="N130" s="28"/>
      <c r="O130" s="28"/>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pageSetUpPr autoPageBreaks="0"/>
  </sheetPr>
  <dimension ref="A1:O130"/>
  <sheetViews>
    <sheetView workbookViewId="0">
      <selection activeCell="D35" sqref="D35"/>
    </sheetView>
  </sheetViews>
  <sheetFormatPr defaultColWidth="9.1796875" defaultRowHeight="14.5" x14ac:dyDescent="0.35"/>
  <cols>
    <col min="1" max="2" width="4" style="97" customWidth="1"/>
    <col min="3" max="3" width="9.1796875" style="97"/>
    <col min="4" max="4" width="10.453125" style="97" customWidth="1"/>
    <col min="5" max="16384" width="9.1796875" style="97"/>
  </cols>
  <sheetData>
    <row r="1" spans="3:15" ht="12.75" customHeight="1" x14ac:dyDescent="0.35">
      <c r="C1" s="97" t="s">
        <v>4329</v>
      </c>
      <c r="N1" s="97" t="s">
        <v>4330</v>
      </c>
      <c r="O1" s="97" t="s">
        <v>4331</v>
      </c>
    </row>
    <row r="2" spans="3:15" ht="12.75" customHeight="1" x14ac:dyDescent="0.35"/>
    <row r="3" spans="3:15" ht="12.75" customHeight="1" x14ac:dyDescent="0.35">
      <c r="C3" s="97" t="s">
        <v>4332</v>
      </c>
    </row>
    <row r="4" spans="3:15" ht="12.75" customHeight="1" x14ac:dyDescent="0.35"/>
    <row r="5" spans="3:15" ht="12.75" customHeight="1" x14ac:dyDescent="0.35">
      <c r="D5" s="97" t="s">
        <v>4333</v>
      </c>
    </row>
    <row r="6" spans="3:15" ht="12.75" customHeight="1" x14ac:dyDescent="0.35">
      <c r="D6" s="97" t="s">
        <v>4334</v>
      </c>
    </row>
    <row r="7" spans="3:15" ht="12.75" customHeight="1" x14ac:dyDescent="0.35"/>
    <row r="8" spans="3:15" ht="12.75" customHeight="1" x14ac:dyDescent="0.35">
      <c r="D8" s="97" t="s">
        <v>4335</v>
      </c>
      <c r="H8" s="97" t="s">
        <v>4336</v>
      </c>
    </row>
    <row r="9" spans="3:15" ht="12.75" customHeight="1" x14ac:dyDescent="0.35">
      <c r="D9" s="97" t="s">
        <v>4337</v>
      </c>
    </row>
    <row r="10" spans="3:15" ht="12.75" customHeight="1" x14ac:dyDescent="0.35">
      <c r="D10" s="97" t="s">
        <v>4338</v>
      </c>
      <c r="H10" s="97" t="s">
        <v>2735</v>
      </c>
    </row>
    <row r="11" spans="3:15" ht="12.75" customHeight="1" x14ac:dyDescent="0.35">
      <c r="D11" s="97" t="s">
        <v>4339</v>
      </c>
      <c r="H11" s="97" t="str">
        <f>IF(CalcPoint=0,"(na początku okresu)","(na końcu okresu)")</f>
        <v>(na początku okresu)</v>
      </c>
    </row>
    <row r="12" spans="3:15" ht="12.75" customHeight="1" x14ac:dyDescent="0.35"/>
    <row r="13" spans="3:15" ht="12.75" customHeight="1" x14ac:dyDescent="0.35"/>
    <row r="14" spans="3:15" ht="12.75" customHeight="1" x14ac:dyDescent="0.35">
      <c r="D14" s="97" t="s">
        <v>4340</v>
      </c>
      <c r="H14" s="97" t="s">
        <v>4341</v>
      </c>
    </row>
    <row r="15" spans="3:15" ht="12.75" customHeight="1" x14ac:dyDescent="0.35">
      <c r="D15" s="97" t="s">
        <v>4342</v>
      </c>
    </row>
    <row r="16" spans="3:15" ht="12.75" customHeight="1" x14ac:dyDescent="0.35">
      <c r="D16" s="97" t="str">
        <f>"Wartość bieżąca wartości rezydualnej"&amp;IF(UsePerpetuity=1," (renta wieczysta)","")</f>
        <v>Wartość bieżąca wartości rezydualnej</v>
      </c>
    </row>
    <row r="17" spans="4:8" ht="12.75" customHeight="1" x14ac:dyDescent="0.35"/>
    <row r="18" spans="4:8" ht="12.75" customHeight="1" x14ac:dyDescent="0.35">
      <c r="D18" s="97" t="s">
        <v>4343</v>
      </c>
    </row>
    <row r="19" spans="4:8" ht="12.75" customHeight="1" x14ac:dyDescent="0.35"/>
    <row r="20" spans="4:8" ht="12.75" customHeight="1" x14ac:dyDescent="0.35">
      <c r="D20" s="97" t="s">
        <v>4344</v>
      </c>
      <c r="H20" s="97" t="s">
        <v>4345</v>
      </c>
    </row>
    <row r="21" spans="4:8" ht="12.75" customHeight="1" x14ac:dyDescent="0.35"/>
    <row r="22" spans="4:8" ht="12.75" customHeight="1" x14ac:dyDescent="0.35">
      <c r="D22" s="97" t="str">
        <f>"      Wprowadź wartość roczną"&amp;IF(TRIM($J$5)&lt;&gt;""," ("&amp;$J$5&amp;")","")</f>
        <v xml:space="preserve">      Wprowadź wartość roczną</v>
      </c>
      <c r="H22" s="97" t="str">
        <f ca="1">"Wartość bazowa "&amp;Calculations!$Q$632</f>
        <v>Wartość bazowa (12/2024)</v>
      </c>
    </row>
    <row r="23" spans="4:8" ht="12.75" customHeight="1" x14ac:dyDescent="0.35"/>
    <row r="24" spans="4:8" ht="12.75" customHeight="1" x14ac:dyDescent="0.35">
      <c r="D24" s="97" t="s">
        <v>4346</v>
      </c>
      <c r="H24" s="97" t="s">
        <v>4347</v>
      </c>
    </row>
    <row r="25" spans="4:8" ht="12.75" customHeight="1" x14ac:dyDescent="0.35"/>
    <row r="26" spans="4:8" ht="12.75" customHeight="1" x14ac:dyDescent="0.35">
      <c r="D26" s="97" t="s">
        <v>4348</v>
      </c>
      <c r="H26" s="97" t="str">
        <f ca="1">"Renta wieczysta "&amp;Calculations!$Q$632</f>
        <v>Renta wieczysta (12/2024)</v>
      </c>
    </row>
    <row r="27" spans="4:8" ht="12.75" customHeight="1" x14ac:dyDescent="0.35"/>
    <row r="28" spans="4:8" ht="12.75" customHeight="1" x14ac:dyDescent="0.35">
      <c r="D28" s="97" t="s">
        <v>4349</v>
      </c>
      <c r="H28" s="97" t="str">
        <f>"Wartość bieżąca ("&amp;$F$11&amp;")"</f>
        <v>Wartość bieżąca ()</v>
      </c>
    </row>
    <row r="29" spans="4:8" ht="12.75" customHeight="1" x14ac:dyDescent="0.35"/>
    <row r="30" spans="4:8" ht="12.75" customHeight="1" x14ac:dyDescent="0.35"/>
    <row r="31" spans="4:8" ht="12.75" customHeight="1" x14ac:dyDescent="0.35">
      <c r="D31" s="101" t="s">
        <v>4350</v>
      </c>
      <c r="H31" s="101" t="s">
        <v>4351</v>
      </c>
    </row>
    <row r="32" spans="4:8" ht="12.75" customHeight="1" x14ac:dyDescent="0.35"/>
    <row r="33" spans="4:4" ht="12.75" customHeight="1" x14ac:dyDescent="0.35">
      <c r="D33" s="97" t="s">
        <v>4352</v>
      </c>
    </row>
    <row r="34" spans="4:4" ht="12.75" customHeight="1" x14ac:dyDescent="0.35"/>
    <row r="35" spans="4:4" ht="12.75" customHeight="1" x14ac:dyDescent="0.35">
      <c r="D35" s="97" t="s">
        <v>5335</v>
      </c>
    </row>
    <row r="36" spans="4:4" ht="12.75" customHeight="1" x14ac:dyDescent="0.35">
      <c r="D36" s="97" t="s">
        <v>4353</v>
      </c>
    </row>
    <row r="37" spans="4:4" ht="12.75" customHeight="1" x14ac:dyDescent="0.35"/>
    <row r="38" spans="4:4" ht="12.75" customHeight="1" x14ac:dyDescent="0.35">
      <c r="D38" s="97" t="s">
        <v>4354</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5104</v>
      </c>
    </row>
    <row r="49" spans="1:8" ht="12.75" customHeight="1" x14ac:dyDescent="0.35">
      <c r="D49" s="97" t="s">
        <v>1803</v>
      </c>
      <c r="H49" s="101" t="s">
        <v>4355</v>
      </c>
    </row>
    <row r="50" spans="1:8" ht="12.75" customHeight="1" x14ac:dyDescent="0.35"/>
    <row r="51" spans="1:8" ht="12.75" customHeight="1" x14ac:dyDescent="0.35">
      <c r="D51" s="97" t="s">
        <v>4330</v>
      </c>
      <c r="E51" s="97" t="s">
        <v>4356</v>
      </c>
      <c r="F51" s="97" t="s">
        <v>4357</v>
      </c>
    </row>
    <row r="52" spans="1:8" ht="12.75" customHeight="1" x14ac:dyDescent="0.35">
      <c r="D52" s="97" t="s">
        <v>4358</v>
      </c>
    </row>
    <row r="53" spans="1:8" ht="12.75" customHeight="1" x14ac:dyDescent="0.35">
      <c r="D53" s="97" t="s">
        <v>4359</v>
      </c>
    </row>
    <row r="54" spans="1:8" ht="12.75" customHeight="1" x14ac:dyDescent="0.35">
      <c r="D54" s="97" t="s">
        <v>4360</v>
      </c>
    </row>
    <row r="55" spans="1:8" ht="12.75" customHeight="1" x14ac:dyDescent="0.35">
      <c r="D55" s="97" t="s">
        <v>4330</v>
      </c>
    </row>
    <row r="56" spans="1:8" ht="12.75" customHeight="1" x14ac:dyDescent="0.35"/>
    <row r="57" spans="1:8" ht="12.75" customHeight="1" x14ac:dyDescent="0.35">
      <c r="A57" s="102" t="s">
        <v>4361</v>
      </c>
      <c r="D57" s="97" t="s">
        <v>4362</v>
      </c>
    </row>
    <row r="58" spans="1:8" ht="12.75" customHeight="1" x14ac:dyDescent="0.35">
      <c r="A58" s="102" t="s">
        <v>4363</v>
      </c>
      <c r="D58" s="102" t="s">
        <v>4364</v>
      </c>
    </row>
    <row r="59" spans="1:8" ht="12.75" customHeight="1" x14ac:dyDescent="0.35"/>
    <row r="60" spans="1:8" ht="12.75" customHeight="1" x14ac:dyDescent="0.35">
      <c r="D60" s="97" t="s">
        <v>4365</v>
      </c>
      <c r="H60" s="97" t="s">
        <v>4366</v>
      </c>
    </row>
    <row r="61" spans="1:8" ht="12.75" customHeight="1" x14ac:dyDescent="0.35"/>
    <row r="62" spans="1:8" ht="12.75" customHeight="1" x14ac:dyDescent="0.35">
      <c r="D62" s="97" t="s">
        <v>3670</v>
      </c>
    </row>
    <row r="63" spans="1:8" ht="12.75" customHeight="1" x14ac:dyDescent="0.35">
      <c r="D63" s="97" t="s">
        <v>4367</v>
      </c>
    </row>
    <row r="64" spans="1:8" ht="12.75" customHeight="1" x14ac:dyDescent="0.35">
      <c r="D64" s="97" t="s">
        <v>4368</v>
      </c>
    </row>
    <row r="65" spans="4:8" ht="12.75" customHeight="1" x14ac:dyDescent="0.35">
      <c r="D65" s="97" t="str">
        <f ca="1">IF(ResultControlValue&lt;0,"Strata z tytułu trwałej utraty wartości","Wartość kontrolna")&amp;" (B - A)"</f>
        <v>Wartość kontrolna (B - A)</v>
      </c>
    </row>
    <row r="66" spans="4:8" ht="12.75" customHeight="1" x14ac:dyDescent="0.35"/>
    <row r="67" spans="4:8" ht="12.75" customHeight="1" x14ac:dyDescent="0.35">
      <c r="D67" s="97" t="s">
        <v>4369</v>
      </c>
    </row>
    <row r="68" spans="4:8" ht="12.75" customHeight="1" x14ac:dyDescent="0.35">
      <c r="D68" s="101" t="s">
        <v>4370</v>
      </c>
    </row>
    <row r="69" spans="4:8" ht="12.75" customHeight="1" x14ac:dyDescent="0.35">
      <c r="D69" s="97" t="s">
        <v>4371</v>
      </c>
    </row>
    <row r="70" spans="4:8" ht="12.75" customHeight="1" x14ac:dyDescent="0.35">
      <c r="D70" s="97" t="s">
        <v>4372</v>
      </c>
    </row>
    <row r="71" spans="4:8" ht="12.75" customHeight="1" x14ac:dyDescent="0.35"/>
    <row r="72" spans="4:8" ht="12.75" customHeight="1" x14ac:dyDescent="0.35">
      <c r="D72" s="97" t="s">
        <v>4373</v>
      </c>
      <c r="H72" s="97" t="s">
        <v>4374</v>
      </c>
    </row>
    <row r="73" spans="4:8" ht="12.75" customHeight="1" x14ac:dyDescent="0.35">
      <c r="D73" s="97" t="str">
        <f ca="1">"Skumulowane wolne przepływy pieniężne "&amp;IF(ISERROR($I$131),"",OFFSET(Calculations!$G$11,0,CalcPointPB))&amp;"-&gt;"&amp;IF(ISERROR(D77),F77,D77)</f>
        <v>Skumulowane wolne przepływy pieniężne 9/2019-&gt;</v>
      </c>
    </row>
    <row r="74" spans="4:8" ht="12.75" customHeight="1" x14ac:dyDescent="0.35">
      <c r="D74" s="97" t="str">
        <f ca="1">"Skumulowane wolne przepływy pieniężne "&amp;IF(ISERROR($I$131),"",OFFSET(Calculations!$G$11,0,CalcPointPB))&amp;"-&gt;"&amp;IF(ISERROR(E77),F77,IF(E77=D77,F77,E77))</f>
        <v>Skumulowane wolne przepływy pieniężne 9/2019-&gt;</v>
      </c>
    </row>
    <row r="75" spans="4:8" ht="12.75" customHeight="1" x14ac:dyDescent="0.35">
      <c r="D75" s="97" t="s">
        <v>4375</v>
      </c>
    </row>
    <row r="76" spans="4:8" ht="12.75" customHeight="1" x14ac:dyDescent="0.35">
      <c r="D76" s="97" t="s">
        <v>4376</v>
      </c>
      <c r="H76" s="97" t="s">
        <v>4377</v>
      </c>
    </row>
    <row r="77" spans="4:8" ht="12.75" customHeight="1" x14ac:dyDescent="0.35"/>
    <row r="78" spans="4:8" ht="12.75" customHeight="1" x14ac:dyDescent="0.35">
      <c r="D78" s="97" t="s">
        <v>4378</v>
      </c>
      <c r="H78" s="97" t="str">
        <f>"Średnio "&amp;IF(NOT(ISERROR($N78)),$N78&amp;" lat(a)","-")</f>
        <v>Średnio  lat(a)</v>
      </c>
    </row>
    <row r="79" spans="4:8" ht="12.75" customHeight="1" x14ac:dyDescent="0.35">
      <c r="D79" s="97" t="s">
        <v>3530</v>
      </c>
      <c r="H79" s="97" t="str">
        <f>"Średnio "&amp;IF(NOT(ISERROR($N79)),$N79&amp;" lat(a)","-")</f>
        <v>Średnio  lat(a)</v>
      </c>
    </row>
    <row r="80" spans="4:8" ht="12.75" customHeight="1" x14ac:dyDescent="0.35"/>
    <row r="81" spans="4:4" ht="12.75" customHeight="1" x14ac:dyDescent="0.35">
      <c r="D81" s="97" t="s">
        <v>3531</v>
      </c>
    </row>
    <row r="82" spans="4:4" ht="12.75" customHeight="1" x14ac:dyDescent="0.35"/>
    <row r="83" spans="4:4" ht="12.75" customHeight="1" x14ac:dyDescent="0.35">
      <c r="D83" s="111" t="s">
        <v>4379</v>
      </c>
    </row>
    <row r="84" spans="4:4" ht="12.75" customHeight="1" x14ac:dyDescent="0.35">
      <c r="D84" s="111" t="s">
        <v>4380</v>
      </c>
    </row>
    <row r="85" spans="4:4" ht="12.75" customHeight="1" x14ac:dyDescent="0.35"/>
    <row r="86" spans="4:4" ht="12.75" customHeight="1" x14ac:dyDescent="0.35">
      <c r="D86" s="97" t="s">
        <v>4381</v>
      </c>
    </row>
    <row r="87" spans="4:4" ht="12.75" customHeight="1" x14ac:dyDescent="0.35">
      <c r="D87" s="97" t="str">
        <f ca="1">"Skumulowana zdyskontowana wartość dodana "&amp;IF(ISERROR($I$132),"",OFFSET(Calculations!$G$11,0,CalcPointPB))&amp;"-&gt;"&amp;IF(ISERROR($D$90),$F$90,$D$90)</f>
        <v>Skumulowana zdyskontowana wartość dodana 9/2019-&gt;</v>
      </c>
    </row>
    <row r="88" spans="4:4" ht="12.75" customHeight="1" x14ac:dyDescent="0.35">
      <c r="D88" s="97" t="str">
        <f ca="1">"Skumulowana zdyskontowana wartość dodana "&amp;IF(ISERROR($I$132),"",OFFSET(Calculations!$G$11,0,CalcPointPB))&amp;"-&gt;"&amp;IF(ISERROR($E$90),$F$90,IF($E$90=$D$90,$F$90,$E$90))</f>
        <v>Skumulowana zdyskontowana wartość dodana 9/2019-&gt;</v>
      </c>
    </row>
    <row r="89" spans="4:4" ht="12.75" customHeight="1" x14ac:dyDescent="0.35">
      <c r="D89" s="97" t="s">
        <v>4375</v>
      </c>
    </row>
    <row r="90" spans="4:4" ht="12.75" customHeight="1" x14ac:dyDescent="0.35"/>
    <row r="91" spans="4:4" ht="12.75" customHeight="1" x14ac:dyDescent="0.35">
      <c r="D91" s="97" t="s">
        <v>4382</v>
      </c>
    </row>
    <row r="92" spans="4:4" ht="12.75" customHeight="1" x14ac:dyDescent="0.35"/>
    <row r="93" spans="4:4" ht="12.75" customHeight="1" x14ac:dyDescent="0.35">
      <c r="D93" s="97" t="s">
        <v>4383</v>
      </c>
    </row>
    <row r="94" spans="4:4" ht="12.75" customHeight="1" x14ac:dyDescent="0.35"/>
    <row r="95" spans="4:4" ht="12.75" customHeight="1" x14ac:dyDescent="0.35">
      <c r="D95" s="97" t="s">
        <v>4384</v>
      </c>
    </row>
    <row r="96" spans="4:4" ht="12.75" customHeight="1" x14ac:dyDescent="0.35">
      <c r="D96" s="97" t="str">
        <f>IF(UsePerpetuity=1,"PV wart. rezydualnej(renty wieczystej) dla dostawcy kapit. własn.","PV wartości rezydualnej dla dostawcy kapitału własnego")</f>
        <v>PV wartości rezydualnej dla dostawcy kapitału własnego</v>
      </c>
    </row>
    <row r="97" spans="4:8" ht="12.75" customHeight="1" x14ac:dyDescent="0.35"/>
    <row r="98" spans="4:8" ht="12.75" customHeight="1" x14ac:dyDescent="0.35">
      <c r="D98" s="97" t="s">
        <v>4343</v>
      </c>
    </row>
    <row r="99" spans="4:8" ht="12.75" customHeight="1" x14ac:dyDescent="0.35"/>
    <row r="100" spans="4:8" ht="12.75" customHeight="1" x14ac:dyDescent="0.35">
      <c r="D100" s="97" t="s">
        <v>4344</v>
      </c>
      <c r="H100" s="97" t="s">
        <v>4345</v>
      </c>
    </row>
    <row r="101" spans="4:8" ht="12.75" customHeight="1" x14ac:dyDescent="0.35"/>
    <row r="102" spans="4:8" ht="12.75" customHeight="1" x14ac:dyDescent="0.35">
      <c r="D102" s="97" t="str">
        <f>"      Wprowadź wartość roczną"&amp;IF(TRIM($J$5)&lt;&gt;""," ("&amp;$J$5&amp;")","")</f>
        <v xml:space="preserve">      Wprowadź wartość roczną</v>
      </c>
      <c r="H102" s="97" t="str">
        <f ca="1">"Wartość bazowa "&amp;Calculations!$Q$632</f>
        <v>Wartość bazowa (12/2024)</v>
      </c>
    </row>
    <row r="103" spans="4:8" ht="12.75" customHeight="1" x14ac:dyDescent="0.35"/>
    <row r="104" spans="4:8" ht="12.75" customHeight="1" x14ac:dyDescent="0.35">
      <c r="D104" s="97" t="s">
        <v>4346</v>
      </c>
      <c r="H104" s="97" t="s">
        <v>4347</v>
      </c>
    </row>
    <row r="105" spans="4:8" ht="12.75" customHeight="1" x14ac:dyDescent="0.35"/>
    <row r="106" spans="4:8" ht="12.75" customHeight="1" x14ac:dyDescent="0.35">
      <c r="D106" s="97" t="s">
        <v>4348</v>
      </c>
      <c r="H106" s="97" t="str">
        <f ca="1">"Renta wieczysta "&amp;Calculations!$Q$632</f>
        <v>Renta wieczysta (12/2024)</v>
      </c>
    </row>
    <row r="107" spans="4:8" ht="12.75" customHeight="1" x14ac:dyDescent="0.35"/>
    <row r="108" spans="4:8" ht="12.75" customHeight="1" x14ac:dyDescent="0.35">
      <c r="D108" s="97" t="s">
        <v>4349</v>
      </c>
      <c r="H108" s="97" t="str">
        <f>"Wartość bieżąca ("&amp;$F$11&amp;")"</f>
        <v>Wartość bieżąca ()</v>
      </c>
    </row>
    <row r="109" spans="4:8" ht="12.75" customHeight="1" x14ac:dyDescent="0.35"/>
    <row r="110" spans="4:8" ht="12.75" customHeight="1" x14ac:dyDescent="0.35">
      <c r="D110" s="101" t="s">
        <v>4385</v>
      </c>
    </row>
    <row r="111" spans="4:8" ht="12.75" customHeight="1" x14ac:dyDescent="0.35">
      <c r="D111" s="97" t="s">
        <v>4386</v>
      </c>
    </row>
    <row r="112" spans="4:8" ht="12.75" customHeight="1" x14ac:dyDescent="0.35">
      <c r="D112" s="97" t="s">
        <v>4387</v>
      </c>
    </row>
    <row r="113" spans="4:8" ht="12.75" customHeight="1" x14ac:dyDescent="0.35"/>
    <row r="114" spans="4:8" ht="12.75" customHeight="1" x14ac:dyDescent="0.35">
      <c r="D114" s="97" t="s">
        <v>4388</v>
      </c>
    </row>
    <row r="115" spans="4:8" ht="12.75" customHeight="1" x14ac:dyDescent="0.35">
      <c r="D115" s="101" t="s">
        <v>4389</v>
      </c>
    </row>
    <row r="116" spans="4:8" ht="12.75" customHeight="1" x14ac:dyDescent="0.35">
      <c r="D116" s="97" t="s">
        <v>4390</v>
      </c>
    </row>
    <row r="117" spans="4:8" ht="12.75" customHeight="1" x14ac:dyDescent="0.35"/>
    <row r="118" spans="4:8" ht="12.75" customHeight="1" x14ac:dyDescent="0.35">
      <c r="D118" s="97" t="s">
        <v>4391</v>
      </c>
      <c r="H118" s="97" t="s">
        <v>4392</v>
      </c>
    </row>
    <row r="119" spans="4:8" ht="12.75" customHeight="1" x14ac:dyDescent="0.35">
      <c r="D119" s="97" t="str">
        <f ca="1">"Skumulowane zdyskontowane FCFE "&amp;IF(ISERROR($G$131),"",OFFSET(Calculations!$G$11,0,CalcPointPB))&amp;"-&gt;"&amp;IF(ISERROR($D$123),$F$123,$D$123)</f>
        <v>Skumulowane zdyskontowane FCFE 9/2019-&gt;</v>
      </c>
    </row>
    <row r="120" spans="4:8" ht="12.75" customHeight="1" x14ac:dyDescent="0.35">
      <c r="D120" s="97" t="str">
        <f ca="1">"Skumulowane zdyskontowane FCFE "&amp;IF(ISERROR($G$131),"",OFFSET(Calculations!$G$11,0,CalcPointPB))&amp;"-&gt;"&amp;IF(ISERROR($E$123),$F$123,IF($E$123=$D$123,$F$123,$E$123))</f>
        <v>Skumulowane zdyskontowane FCFE 9/2019-&gt;</v>
      </c>
    </row>
    <row r="121" spans="4:8" ht="12.75" customHeight="1" x14ac:dyDescent="0.35">
      <c r="D121" s="97" t="s">
        <v>4375</v>
      </c>
    </row>
    <row r="122" spans="4:8" ht="12.75" customHeight="1" x14ac:dyDescent="0.35">
      <c r="D122" s="97" t="s">
        <v>4393</v>
      </c>
      <c r="H122" s="97" t="s">
        <v>4394</v>
      </c>
    </row>
    <row r="123" spans="4:8" ht="12.75" customHeight="1" x14ac:dyDescent="0.35"/>
    <row r="124" spans="4:8" ht="12.75" customHeight="1" x14ac:dyDescent="0.35"/>
    <row r="125" spans="4:8" ht="12.75" customHeight="1" x14ac:dyDescent="0.35">
      <c r="D125" s="97" t="s">
        <v>4395</v>
      </c>
    </row>
    <row r="126" spans="4:8" ht="12.75" customHeight="1" x14ac:dyDescent="0.35">
      <c r="D126" s="97" t="s">
        <v>4396</v>
      </c>
    </row>
    <row r="127" spans="4:8" ht="12.75" customHeight="1" x14ac:dyDescent="0.35"/>
    <row r="128" spans="4:8" ht="12.75" customHeight="1" x14ac:dyDescent="0.35"/>
    <row r="129" spans="4:4" ht="12.75" customHeight="1" x14ac:dyDescent="0.35"/>
    <row r="130" spans="4:4" ht="12.75" customHeight="1" x14ac:dyDescent="0.35">
      <c r="D130" s="97" t="s">
        <v>4397</v>
      </c>
    </row>
  </sheetData>
  <printOptions gridLines="1"/>
  <pageMargins left="0.75" right="0.75" top="1" bottom="1" header="0.5" footer="0.5"/>
  <pageSetup paperSize="9" orientation="portrait" r:id="rId1"/>
  <headerFooter>
    <oddHeader>&amp;C&amp;A</oddHeader>
    <oddFooter>&amp;CPage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pageSetUpPr autoPageBreaks="0"/>
  </sheetPr>
  <dimension ref="A1:O130"/>
  <sheetViews>
    <sheetView workbookViewId="0">
      <selection activeCell="D35" sqref="D35"/>
    </sheetView>
  </sheetViews>
  <sheetFormatPr defaultColWidth="9.1796875" defaultRowHeight="14.5" x14ac:dyDescent="0.35"/>
  <cols>
    <col min="1" max="1" width="9.26953125" style="97" customWidth="1"/>
    <col min="2" max="2" width="2.54296875" style="97" customWidth="1"/>
    <col min="3" max="3" width="8.453125" style="97" customWidth="1"/>
    <col min="4" max="4" width="13.54296875" style="97" customWidth="1"/>
    <col min="5" max="6" width="9.1796875" style="97"/>
    <col min="7" max="7" width="2.7265625" style="97" customWidth="1"/>
    <col min="8" max="8" width="27.7265625" style="97" customWidth="1"/>
    <col min="9" max="13" width="9.1796875" style="97"/>
    <col min="14" max="14" width="18.7265625" style="97" customWidth="1"/>
    <col min="15" max="15" width="24.7265625" style="97" customWidth="1"/>
    <col min="16" max="16384" width="9.1796875" style="97"/>
  </cols>
  <sheetData>
    <row r="1" spans="3:15" ht="12.75" customHeight="1" x14ac:dyDescent="0.35">
      <c r="C1" s="97" t="s">
        <v>4398</v>
      </c>
      <c r="N1" s="97" t="s">
        <v>4399</v>
      </c>
      <c r="O1" s="97" t="s">
        <v>4400</v>
      </c>
    </row>
    <row r="2" spans="3:15" ht="12.75" customHeight="1" x14ac:dyDescent="0.35"/>
    <row r="3" spans="3:15" ht="12.75" customHeight="1" x14ac:dyDescent="0.35">
      <c r="C3" s="97" t="s">
        <v>4401</v>
      </c>
    </row>
    <row r="4" spans="3:15" ht="12.75" customHeight="1" x14ac:dyDescent="0.35"/>
    <row r="5" spans="3:15" ht="12.75" customHeight="1" x14ac:dyDescent="0.35">
      <c r="D5" s="97" t="s">
        <v>4402</v>
      </c>
    </row>
    <row r="6" spans="3:15" ht="12.75" customHeight="1" x14ac:dyDescent="0.35">
      <c r="D6" s="97" t="s">
        <v>4403</v>
      </c>
    </row>
    <row r="7" spans="3:15" ht="12.75" customHeight="1" x14ac:dyDescent="0.35"/>
    <row r="8" spans="3:15" ht="12.75" customHeight="1" x14ac:dyDescent="0.35">
      <c r="D8" s="97" t="s">
        <v>4404</v>
      </c>
      <c r="H8" s="97" t="s">
        <v>4405</v>
      </c>
    </row>
    <row r="9" spans="3:15" ht="12.75" customHeight="1" x14ac:dyDescent="0.35">
      <c r="D9" s="97" t="s">
        <v>4406</v>
      </c>
    </row>
    <row r="10" spans="3:15" ht="12.75" customHeight="1" x14ac:dyDescent="0.35">
      <c r="D10" s="97" t="s">
        <v>4407</v>
      </c>
      <c r="H10" s="97" t="s">
        <v>2765</v>
      </c>
    </row>
    <row r="11" spans="3:15" ht="12.75" customHeight="1" x14ac:dyDescent="0.35">
      <c r="D11" s="97" t="s">
        <v>4408</v>
      </c>
      <c r="H11" s="97" t="str">
        <f>IF(CalcPoint=0,"(al principio del período)","(al final del período)")</f>
        <v>(al principio del período)</v>
      </c>
    </row>
    <row r="12" spans="3:15" ht="12.75" customHeight="1" x14ac:dyDescent="0.35"/>
    <row r="13" spans="3:15" ht="12.75" customHeight="1" x14ac:dyDescent="0.35"/>
    <row r="14" spans="3:15" ht="12.75" customHeight="1" x14ac:dyDescent="0.35">
      <c r="D14" s="97" t="s">
        <v>4409</v>
      </c>
      <c r="H14" s="97" t="s">
        <v>4410</v>
      </c>
    </row>
    <row r="15" spans="3:15" ht="12.75" customHeight="1" x14ac:dyDescent="0.35">
      <c r="D15" s="97" t="s">
        <v>4411</v>
      </c>
    </row>
    <row r="16" spans="3:15" ht="12.75" customHeight="1" x14ac:dyDescent="0.35">
      <c r="D16" s="97" t="s">
        <v>4412</v>
      </c>
    </row>
    <row r="17" spans="4:8" ht="12.75" customHeight="1" x14ac:dyDescent="0.35"/>
    <row r="18" spans="4:8" ht="12.75" customHeight="1" x14ac:dyDescent="0.35">
      <c r="D18" s="97" t="s">
        <v>4413</v>
      </c>
    </row>
    <row r="19" spans="4:8" ht="12.75" customHeight="1" x14ac:dyDescent="0.35"/>
    <row r="20" spans="4:8" ht="12.75" customHeight="1" x14ac:dyDescent="0.35">
      <c r="D20" s="97" t="s">
        <v>4414</v>
      </c>
      <c r="H20" s="97" t="s">
        <v>4415</v>
      </c>
    </row>
    <row r="21" spans="4:8" ht="12.75" customHeight="1" x14ac:dyDescent="0.35"/>
    <row r="22" spans="4:8" ht="12.75" customHeight="1" x14ac:dyDescent="0.35">
      <c r="D22" s="97" t="str">
        <f>"      Introducir valor anual"&amp;IF(TRIM($J$5)&lt;&gt;""," ("&amp;$J$5&amp;")","")</f>
        <v xml:space="preserve">      Introducir valor anual</v>
      </c>
      <c r="H22" s="97" t="str">
        <f ca="1">"Valor base "&amp;Calculations!$Q$632</f>
        <v>Valor base (12/2024)</v>
      </c>
    </row>
    <row r="23" spans="4:8" ht="12.75" customHeight="1" x14ac:dyDescent="0.35"/>
    <row r="24" spans="4:8" ht="12.75" customHeight="1" x14ac:dyDescent="0.35">
      <c r="D24" s="97" t="s">
        <v>4416</v>
      </c>
      <c r="H24" s="97" t="s">
        <v>4417</v>
      </c>
    </row>
    <row r="25" spans="4:8" ht="12.75" customHeight="1" x14ac:dyDescent="0.35"/>
    <row r="26" spans="4:8" ht="12.75" customHeight="1" x14ac:dyDescent="0.35">
      <c r="D26" s="97" t="s">
        <v>4418</v>
      </c>
      <c r="H26" s="97" t="str">
        <f ca="1">"Anualidad perpetua "&amp;Calculations!$Q$632</f>
        <v>Anualidad perpetua (12/2024)</v>
      </c>
    </row>
    <row r="27" spans="4:8" ht="12.75" customHeight="1" x14ac:dyDescent="0.35"/>
    <row r="28" spans="4:8" ht="12.75" customHeight="1" x14ac:dyDescent="0.35">
      <c r="D28" s="97" t="s">
        <v>4419</v>
      </c>
      <c r="H28" s="97" t="str">
        <f>"Valor actual ("&amp;$F$11&amp;")"</f>
        <v>Valor actual ()</v>
      </c>
    </row>
    <row r="29" spans="4:8" ht="12.75" customHeight="1" x14ac:dyDescent="0.35"/>
    <row r="30" spans="4:8" ht="12.75" customHeight="1" x14ac:dyDescent="0.35"/>
    <row r="31" spans="4:8" ht="12.75" customHeight="1" x14ac:dyDescent="0.35">
      <c r="D31" s="101" t="s">
        <v>4420</v>
      </c>
      <c r="H31" s="101" t="s">
        <v>4421</v>
      </c>
    </row>
    <row r="32" spans="4:8" ht="12.75" customHeight="1" x14ac:dyDescent="0.35"/>
    <row r="33" spans="4:4" ht="12.75" customHeight="1" x14ac:dyDescent="0.35">
      <c r="D33" s="97" t="s">
        <v>4409</v>
      </c>
    </row>
    <row r="34" spans="4:4" ht="12.75" customHeight="1" x14ac:dyDescent="0.35"/>
    <row r="35" spans="4:4" ht="12.75" customHeight="1" x14ac:dyDescent="0.35">
      <c r="D35" s="97" t="s">
        <v>5336</v>
      </c>
    </row>
    <row r="36" spans="4:4" ht="12.75" customHeight="1" x14ac:dyDescent="0.35">
      <c r="D36" s="97" t="s">
        <v>4422</v>
      </c>
    </row>
    <row r="37" spans="4:4" ht="12.75" customHeight="1" x14ac:dyDescent="0.35"/>
    <row r="38" spans="4:4" ht="12.75" customHeight="1" x14ac:dyDescent="0.35">
      <c r="D38" s="97" t="s">
        <v>4423</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4424</v>
      </c>
    </row>
    <row r="49" spans="1:8" ht="12.75" customHeight="1" x14ac:dyDescent="0.35">
      <c r="D49" s="97" t="s">
        <v>1803</v>
      </c>
      <c r="H49" s="101" t="s">
        <v>4425</v>
      </c>
    </row>
    <row r="50" spans="1:8" ht="12.75" customHeight="1" x14ac:dyDescent="0.35"/>
    <row r="51" spans="1:8" ht="12.75" customHeight="1" x14ac:dyDescent="0.35">
      <c r="D51" s="97" t="s">
        <v>4426</v>
      </c>
      <c r="E51" s="97" t="s">
        <v>1808</v>
      </c>
      <c r="F51" s="97" t="s">
        <v>4427</v>
      </c>
    </row>
    <row r="52" spans="1:8" ht="12.75" customHeight="1" x14ac:dyDescent="0.35">
      <c r="D52" s="97" t="s">
        <v>4428</v>
      </c>
    </row>
    <row r="53" spans="1:8" ht="12.75" customHeight="1" x14ac:dyDescent="0.35">
      <c r="D53" s="97" t="s">
        <v>4429</v>
      </c>
    </row>
    <row r="54" spans="1:8" ht="12.75" customHeight="1" x14ac:dyDescent="0.35">
      <c r="D54" s="97" t="s">
        <v>4430</v>
      </c>
    </row>
    <row r="55" spans="1:8" ht="12.75" customHeight="1" x14ac:dyDescent="0.35">
      <c r="D55" s="97" t="s">
        <v>4426</v>
      </c>
    </row>
    <row r="56" spans="1:8" ht="12.75" customHeight="1" x14ac:dyDescent="0.35"/>
    <row r="57" spans="1:8" ht="12.75" customHeight="1" x14ac:dyDescent="0.35">
      <c r="A57" s="97" t="s">
        <v>4431</v>
      </c>
      <c r="D57" s="97" t="s">
        <v>4432</v>
      </c>
    </row>
    <row r="58" spans="1:8" ht="12.75" customHeight="1" x14ac:dyDescent="0.35">
      <c r="A58" s="97" t="s">
        <v>4433</v>
      </c>
      <c r="D58" s="97" t="s">
        <v>4434</v>
      </c>
    </row>
    <row r="59" spans="1:8" ht="12.75" customHeight="1" x14ac:dyDescent="0.35"/>
    <row r="60" spans="1:8" ht="12.75" customHeight="1" x14ac:dyDescent="0.35">
      <c r="D60" s="97" t="s">
        <v>4435</v>
      </c>
      <c r="H60" s="97" t="s">
        <v>4436</v>
      </c>
    </row>
    <row r="61" spans="1:8" ht="12.75" customHeight="1" x14ac:dyDescent="0.35"/>
    <row r="62" spans="1:8" ht="12.75" customHeight="1" x14ac:dyDescent="0.35">
      <c r="D62" s="97" t="s">
        <v>3897</v>
      </c>
    </row>
    <row r="63" spans="1:8" ht="12.75" customHeight="1" x14ac:dyDescent="0.35">
      <c r="D63" s="97" t="s">
        <v>4437</v>
      </c>
    </row>
    <row r="64" spans="1:8" ht="12.75" customHeight="1" x14ac:dyDescent="0.35">
      <c r="D64" s="97" t="s">
        <v>4438</v>
      </c>
    </row>
    <row r="65" spans="4:8" ht="12.75" customHeight="1" x14ac:dyDescent="0.35">
      <c r="D65" s="97" t="str">
        <f ca="1">IF(ResultControlValue&lt;0,"Pérdida de valor","Valor de control")&amp;" (B - A)"</f>
        <v>Valor de control (B - A)</v>
      </c>
    </row>
    <row r="66" spans="4:8" ht="12.75" customHeight="1" x14ac:dyDescent="0.35"/>
    <row r="67" spans="4:8" ht="12.75" customHeight="1" x14ac:dyDescent="0.35">
      <c r="D67" s="97" t="s">
        <v>4439</v>
      </c>
    </row>
    <row r="68" spans="4:8" ht="12.75" customHeight="1" x14ac:dyDescent="0.35">
      <c r="D68" s="101" t="s">
        <v>4440</v>
      </c>
    </row>
    <row r="69" spans="4:8" ht="12.75" customHeight="1" x14ac:dyDescent="0.35">
      <c r="D69" s="97" t="s">
        <v>4441</v>
      </c>
    </row>
    <row r="70" spans="4:8" ht="12.75" customHeight="1" x14ac:dyDescent="0.35">
      <c r="D70" s="97" t="s">
        <v>4442</v>
      </c>
    </row>
    <row r="71" spans="4:8" ht="12.75" customHeight="1" x14ac:dyDescent="0.35"/>
    <row r="72" spans="4:8" ht="12.75" customHeight="1" x14ac:dyDescent="0.35">
      <c r="D72" s="97" t="s">
        <v>4443</v>
      </c>
      <c r="H72" s="97" t="s">
        <v>4444</v>
      </c>
    </row>
    <row r="73" spans="4:8" ht="12.75" customHeight="1" x14ac:dyDescent="0.35">
      <c r="D73" s="97" t="str">
        <f ca="1">"Flujo de caja neto descontado acumulativo "&amp;IF(ISERROR($I$131),"",OFFSET(Calculations!$G$11,0,CalcPointPB))&amp;"-&gt;"&amp;IF(ISERROR(D77),F77,D77)</f>
        <v>Flujo de caja neto descontado acumulativo 9/2019-&gt;</v>
      </c>
    </row>
    <row r="74" spans="4:8" ht="12.75" customHeight="1" x14ac:dyDescent="0.35">
      <c r="D74" s="97" t="str">
        <f ca="1">"Flujo de caja neto descontado acumulativo "&amp;IF(ISERROR($I$131),"",OFFSET(Calculations!$G$11,0,CalcPointPB))&amp;"-&gt;"&amp;IF(ISERROR(E77),F77,IF(E77=D77,F77,E77))</f>
        <v>Flujo de caja neto descontado acumulativo 9/2019-&gt;</v>
      </c>
    </row>
    <row r="75" spans="4:8" ht="12.75" customHeight="1" x14ac:dyDescent="0.35">
      <c r="D75" s="97" t="s">
        <v>4445</v>
      </c>
    </row>
    <row r="76" spans="4:8" ht="12.75" customHeight="1" x14ac:dyDescent="0.35">
      <c r="D76" s="97" t="s">
        <v>4446</v>
      </c>
      <c r="H76" s="97" t="s">
        <v>4447</v>
      </c>
    </row>
    <row r="77" spans="4:8" ht="12.75" customHeight="1" x14ac:dyDescent="0.35"/>
    <row r="78" spans="4:8" ht="12.75" customHeight="1" x14ac:dyDescent="0.35">
      <c r="D78" s="97" t="s">
        <v>4448</v>
      </c>
      <c r="H78" s="97" t="str">
        <f>IF(NOT(ISERROR($N78)),$N78&amp;" años de media","-")</f>
        <v xml:space="preserve"> años de media</v>
      </c>
    </row>
    <row r="79" spans="4:8" ht="12.75" customHeight="1" x14ac:dyDescent="0.35">
      <c r="D79" s="97" t="s">
        <v>4449</v>
      </c>
      <c r="H79" s="97" t="str">
        <f>IF(NOT(ISERROR($N79)),$N79&amp;" años de media","-")</f>
        <v xml:space="preserve"> años de media</v>
      </c>
    </row>
    <row r="80" spans="4:8" ht="12.75" customHeight="1" x14ac:dyDescent="0.35"/>
    <row r="81" spans="4:4" ht="12.75" customHeight="1" x14ac:dyDescent="0.35">
      <c r="D81" s="97" t="s">
        <v>4450</v>
      </c>
    </row>
    <row r="82" spans="4:4" ht="12.75" customHeight="1" x14ac:dyDescent="0.35"/>
    <row r="83" spans="4:4" ht="12.75" customHeight="1" x14ac:dyDescent="0.35">
      <c r="D83" s="111" t="s">
        <v>4451</v>
      </c>
    </row>
    <row r="84" spans="4:4" ht="12.75" customHeight="1" x14ac:dyDescent="0.35">
      <c r="D84" s="111" t="s">
        <v>4452</v>
      </c>
    </row>
    <row r="85" spans="4:4" ht="12.75" customHeight="1" x14ac:dyDescent="0.35"/>
    <row r="86" spans="4:4" ht="12.75" customHeight="1" x14ac:dyDescent="0.35">
      <c r="D86" s="97" t="s">
        <v>4453</v>
      </c>
    </row>
    <row r="87" spans="4:4" ht="12.75" customHeight="1" x14ac:dyDescent="0.35">
      <c r="D87" s="97" t="str">
        <f ca="1">"Tiempo de recuperación, años, basado en DCVA "&amp;IF(ISERROR($I$132),"",OFFSET(Calculations!$G$11,0,CalcPointPB))&amp;"-&gt;"&amp;IF(ISERROR($D$90),$F$90,$D$90)</f>
        <v>Tiempo de recuperación, años, basado en DCVA 9/2019-&gt;</v>
      </c>
    </row>
    <row r="88" spans="4:4" ht="12.75" customHeight="1" x14ac:dyDescent="0.35">
      <c r="D88" s="97" t="str">
        <f ca="1">"Tiempo de recuperación, años, basado en DCVA "&amp;IF(ISERROR($I$132),"",OFFSET(Calculations!$G$11,0,CalcPointPB))&amp;"-&gt;"&amp;IF(ISERROR($E$90),$F$90,IF($E$90=$D$90,$F$90,$E$90))</f>
        <v>Tiempo de recuperación, años, basado en DCVA 9/2019-&gt;</v>
      </c>
    </row>
    <row r="89" spans="4:4" ht="12.75" customHeight="1" x14ac:dyDescent="0.35">
      <c r="D89" s="97" t="s">
        <v>4445</v>
      </c>
    </row>
    <row r="90" spans="4:4" ht="12.75" customHeight="1" x14ac:dyDescent="0.35"/>
    <row r="91" spans="4:4" ht="12.75" customHeight="1" x14ac:dyDescent="0.35">
      <c r="D91" s="97" t="s">
        <v>4454</v>
      </c>
    </row>
    <row r="92" spans="4:4" ht="12.75" customHeight="1" x14ac:dyDescent="0.35"/>
    <row r="93" spans="4:4" ht="12.75" customHeight="1" x14ac:dyDescent="0.35">
      <c r="D93" s="97" t="s">
        <v>4455</v>
      </c>
    </row>
    <row r="94" spans="4:4" ht="12.75" customHeight="1" x14ac:dyDescent="0.35"/>
    <row r="95" spans="4:4" ht="12.75" customHeight="1" x14ac:dyDescent="0.35">
      <c r="D95" s="97" t="s">
        <v>4456</v>
      </c>
    </row>
    <row r="96" spans="4:4" ht="12.75" customHeight="1" x14ac:dyDescent="0.35">
      <c r="D96" s="97" t="str">
        <f>"PV del valor residual"&amp;IF(UsePerpetuity=1," (perpetua)","")&amp;" para los accionistas"</f>
        <v>PV del valor residual para los accionistas</v>
      </c>
    </row>
    <row r="97" spans="4:8" ht="12.75" customHeight="1" x14ac:dyDescent="0.35"/>
    <row r="98" spans="4:8" ht="12.75" customHeight="1" x14ac:dyDescent="0.35">
      <c r="D98" s="97" t="s">
        <v>4413</v>
      </c>
    </row>
    <row r="99" spans="4:8" ht="12.75" customHeight="1" x14ac:dyDescent="0.35"/>
    <row r="100" spans="4:8" ht="12.75" customHeight="1" x14ac:dyDescent="0.35">
      <c r="D100" s="97" t="s">
        <v>4414</v>
      </c>
      <c r="H100" s="97" t="s">
        <v>4415</v>
      </c>
    </row>
    <row r="101" spans="4:8" ht="12.75" customHeight="1" x14ac:dyDescent="0.35"/>
    <row r="102" spans="4:8" ht="12.75" customHeight="1" x14ac:dyDescent="0.35">
      <c r="D102" s="97" t="str">
        <f>"      Introducir valor anual"&amp;IF(TRIM($J$5)&lt;&gt;""," ("&amp;$J$5&amp;")","")</f>
        <v xml:space="preserve">      Introducir valor anual</v>
      </c>
      <c r="H102" s="97" t="str">
        <f ca="1">"Valor base "&amp;Calculations!$Q$632</f>
        <v>Valor base (12/2024)</v>
      </c>
    </row>
    <row r="103" spans="4:8" ht="12.75" customHeight="1" x14ac:dyDescent="0.35"/>
    <row r="104" spans="4:8" ht="12.75" customHeight="1" x14ac:dyDescent="0.35">
      <c r="D104" s="97" t="s">
        <v>4416</v>
      </c>
      <c r="H104" s="97" t="s">
        <v>4417</v>
      </c>
    </row>
    <row r="105" spans="4:8" ht="12.75" customHeight="1" x14ac:dyDescent="0.35"/>
    <row r="106" spans="4:8" ht="12.75" customHeight="1" x14ac:dyDescent="0.35">
      <c r="D106" s="97" t="s">
        <v>4418</v>
      </c>
      <c r="H106" s="97" t="str">
        <f ca="1">"Anualidad perpetua "&amp;Calculations!$Q$632</f>
        <v>Anualidad perpetua (12/2024)</v>
      </c>
    </row>
    <row r="107" spans="4:8" ht="12.75" customHeight="1" x14ac:dyDescent="0.35"/>
    <row r="108" spans="4:8" ht="12.75" customHeight="1" x14ac:dyDescent="0.35">
      <c r="D108" s="97" t="s">
        <v>4419</v>
      </c>
      <c r="H108" s="97" t="str">
        <f>"Valor actual ("&amp;$F$11&amp;")"</f>
        <v>Valor actual ()</v>
      </c>
    </row>
    <row r="109" spans="4:8" ht="12.75" customHeight="1" x14ac:dyDescent="0.35"/>
    <row r="110" spans="4:8" ht="12.75" customHeight="1" x14ac:dyDescent="0.35">
      <c r="D110" s="101" t="s">
        <v>4457</v>
      </c>
    </row>
    <row r="111" spans="4:8" ht="12.75" customHeight="1" x14ac:dyDescent="0.35">
      <c r="D111" s="97" t="s">
        <v>4458</v>
      </c>
    </row>
    <row r="112" spans="4:8" ht="12.75" customHeight="1" x14ac:dyDescent="0.35">
      <c r="D112" s="97" t="s">
        <v>4459</v>
      </c>
    </row>
    <row r="113" spans="4:8" ht="12.75" customHeight="1" x14ac:dyDescent="0.35"/>
    <row r="114" spans="4:8" ht="12.75" customHeight="1" x14ac:dyDescent="0.35">
      <c r="D114" s="97" t="s">
        <v>4460</v>
      </c>
    </row>
    <row r="115" spans="4:8" ht="12.75" customHeight="1" x14ac:dyDescent="0.35">
      <c r="D115" s="101" t="s">
        <v>4461</v>
      </c>
    </row>
    <row r="116" spans="4:8" ht="12.75" customHeight="1" x14ac:dyDescent="0.35">
      <c r="D116" s="97" t="s">
        <v>4462</v>
      </c>
    </row>
    <row r="117" spans="4:8" ht="12.75" customHeight="1" x14ac:dyDescent="0.35"/>
    <row r="118" spans="4:8" ht="12.75" customHeight="1" x14ac:dyDescent="0.35">
      <c r="D118" s="97" t="s">
        <v>4463</v>
      </c>
      <c r="H118" s="97" t="s">
        <v>4464</v>
      </c>
    </row>
    <row r="119" spans="4:8" ht="12.75" customHeight="1" x14ac:dyDescent="0.35">
      <c r="D119" s="97" t="str">
        <f ca="1">"FCFE descontado acumulado "&amp;IF(ISERROR($G$131),"",OFFSET(Calculations!$G$11,0,CalcPointPB))&amp;"-&gt;"&amp;IF(ISERROR($D$123),$F$123,$D$123)</f>
        <v>FCFE descontado acumulado 9/2019-&gt;</v>
      </c>
    </row>
    <row r="120" spans="4:8" ht="12.75" customHeight="1" x14ac:dyDescent="0.35">
      <c r="D120" s="97" t="str">
        <f ca="1">"FCFE descontado acumulado "&amp;IF(ISERROR($G$131),"",OFFSET(Calculations!$G$11,0,CalcPointPB))&amp;"-&gt;"&amp;IF(ISERROR($E$123),$F$123,IF($E$123=$D$123,$F$123,$E$123))</f>
        <v>FCFE descontado acumulado 9/2019-&gt;</v>
      </c>
    </row>
    <row r="121" spans="4:8" ht="12.75" customHeight="1" x14ac:dyDescent="0.35">
      <c r="D121" s="97" t="s">
        <v>4445</v>
      </c>
    </row>
    <row r="122" spans="4:8" ht="12.75" customHeight="1" x14ac:dyDescent="0.35">
      <c r="D122" s="97" t="s">
        <v>4465</v>
      </c>
      <c r="H122" s="97" t="s">
        <v>4466</v>
      </c>
    </row>
    <row r="123" spans="4:8" ht="12.75" customHeight="1" x14ac:dyDescent="0.35"/>
    <row r="124" spans="4:8" ht="12.75" customHeight="1" x14ac:dyDescent="0.35"/>
    <row r="125" spans="4:8" ht="12.75" customHeight="1" x14ac:dyDescent="0.35">
      <c r="D125" s="97" t="s">
        <v>4467</v>
      </c>
    </row>
    <row r="126" spans="4:8" ht="12.75" customHeight="1" x14ac:dyDescent="0.35">
      <c r="D126" s="97" t="s">
        <v>4468</v>
      </c>
    </row>
    <row r="127" spans="4:8" ht="12.75" customHeight="1" x14ac:dyDescent="0.35"/>
    <row r="128" spans="4:8" ht="12.75" customHeight="1" x14ac:dyDescent="0.35"/>
    <row r="129" spans="4:4" ht="12.75" customHeight="1" x14ac:dyDescent="0.35"/>
    <row r="130" spans="4:4" ht="12.75" customHeight="1" x14ac:dyDescent="0.35">
      <c r="D130" s="97" t="s">
        <v>4469</v>
      </c>
    </row>
  </sheetData>
  <printOptions gridLines="1"/>
  <pageMargins left="0.75" right="0.75" top="1" bottom="1" header="0.5" footer="0.5"/>
  <pageSetup paperSize="9" orientation="portrait" r:id="rId1"/>
  <headerFooter>
    <oddHeader>&amp;C&amp;A</oddHeader>
    <oddFooter>&amp;CPage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pageSetUpPr autoPageBreaks="0"/>
  </sheetPr>
  <dimension ref="A1:O130"/>
  <sheetViews>
    <sheetView workbookViewId="0"/>
  </sheetViews>
  <sheetFormatPr defaultColWidth="9.1796875" defaultRowHeight="14.5" x14ac:dyDescent="0.35"/>
  <cols>
    <col min="1" max="2" width="4" style="97" customWidth="1"/>
    <col min="3" max="16384" width="9.1796875" style="97"/>
  </cols>
  <sheetData>
    <row r="1" spans="3:15" ht="12.75" customHeight="1" x14ac:dyDescent="0.35">
      <c r="C1" s="97" t="s">
        <v>4470</v>
      </c>
      <c r="N1" s="97" t="s">
        <v>4471</v>
      </c>
      <c r="O1" s="97" t="s">
        <v>4472</v>
      </c>
    </row>
    <row r="2" spans="3:15" ht="12.75" customHeight="1" x14ac:dyDescent="0.35"/>
    <row r="3" spans="3:15" ht="12.75" customHeight="1" x14ac:dyDescent="0.35">
      <c r="C3" s="97" t="s">
        <v>4473</v>
      </c>
    </row>
    <row r="4" spans="3:15" ht="12.75" customHeight="1" x14ac:dyDescent="0.35"/>
    <row r="5" spans="3:15" ht="12.75" customHeight="1" x14ac:dyDescent="0.35">
      <c r="D5" s="97" t="s">
        <v>4474</v>
      </c>
    </row>
    <row r="6" spans="3:15" ht="12.75" customHeight="1" x14ac:dyDescent="0.35">
      <c r="D6" s="97" t="s">
        <v>4475</v>
      </c>
    </row>
    <row r="7" spans="3:15" ht="12.75" customHeight="1" x14ac:dyDescent="0.35"/>
    <row r="8" spans="3:15" ht="12.75" customHeight="1" x14ac:dyDescent="0.35">
      <c r="D8" s="97" t="s">
        <v>4476</v>
      </c>
      <c r="H8" s="97" t="s">
        <v>4477</v>
      </c>
    </row>
    <row r="9" spans="3:15" ht="12.75" customHeight="1" x14ac:dyDescent="0.35">
      <c r="D9" s="97" t="s">
        <v>4478</v>
      </c>
    </row>
    <row r="10" spans="3:15" ht="12.75" customHeight="1" x14ac:dyDescent="0.35">
      <c r="D10" s="97" t="s">
        <v>4479</v>
      </c>
      <c r="H10" s="97" t="str">
        <f>IF(NOT(ISNUMBER(F10)),"",IF(MOD(F10,1)&lt;&gt;0,"года",IF(AND(RIGHT(F10,1)="1",ABS(F10)&lt;&gt;11),"год",IF(AND(OR(RIGHT(F10,1)="2",RIGHT(F10,1)="3",RIGHT(F10,1)="4"),OR(ABS(F10)&lt;5,ABS(F10)&gt;20)),"года","лет"))))</f>
        <v/>
      </c>
    </row>
    <row r="11" spans="3:15" ht="12.75" customHeight="1" x14ac:dyDescent="0.35">
      <c r="D11" s="97" t="s">
        <v>4480</v>
      </c>
      <c r="H11" s="97" t="str">
        <f>IF(CalcPoint=0,"(В конце периода)","(В начале периода)")</f>
        <v>(В конце периода)</v>
      </c>
    </row>
    <row r="12" spans="3:15" ht="12.75" customHeight="1" x14ac:dyDescent="0.35"/>
    <row r="13" spans="3:15" ht="12.75" customHeight="1" x14ac:dyDescent="0.35"/>
    <row r="14" spans="3:15" ht="12.75" customHeight="1" x14ac:dyDescent="0.35">
      <c r="D14" s="97" t="s">
        <v>4481</v>
      </c>
      <c r="H14" s="97" t="s">
        <v>4482</v>
      </c>
    </row>
    <row r="15" spans="3:15" ht="12.75" customHeight="1" x14ac:dyDescent="0.35">
      <c r="D15" s="97" t="s">
        <v>4483</v>
      </c>
    </row>
    <row r="16" spans="3:15" ht="12.75" customHeight="1" x14ac:dyDescent="0.35">
      <c r="D16" s="97" t="s">
        <v>4484</v>
      </c>
    </row>
    <row r="17" spans="4:8" ht="12.75" customHeight="1" x14ac:dyDescent="0.35"/>
    <row r="18" spans="4:8" ht="12.75" customHeight="1" x14ac:dyDescent="0.35">
      <c r="D18" s="97" t="s">
        <v>4485</v>
      </c>
    </row>
    <row r="19" spans="4:8" ht="12.75" customHeight="1" x14ac:dyDescent="0.35"/>
    <row r="20" spans="4:8" ht="12.75" customHeight="1" x14ac:dyDescent="0.35">
      <c r="D20" s="97" t="s">
        <v>4486</v>
      </c>
      <c r="H20" s="97" t="s">
        <v>4487</v>
      </c>
    </row>
    <row r="21" spans="4:8" ht="12.75" customHeight="1" x14ac:dyDescent="0.35"/>
    <row r="22" spans="4:8" ht="12.75" customHeight="1" x14ac:dyDescent="0.35">
      <c r="D22" s="97" t="str">
        <f>"      Ввести годовую стоимость"&amp;IF(TRIM($J$5)&lt;&gt;""," ("&amp;$J$5&amp;")","")</f>
        <v xml:space="preserve">      Ввести годовую стоимость</v>
      </c>
      <c r="H22" s="97" t="str">
        <f ca="1">"Баз. стоимость "&amp;Calculations!$Q$632</f>
        <v>Баз. стоимость (12/2024)</v>
      </c>
    </row>
    <row r="23" spans="4:8" ht="12.75" customHeight="1" x14ac:dyDescent="0.35"/>
    <row r="24" spans="4:8" ht="12.75" customHeight="1" x14ac:dyDescent="0.35">
      <c r="D24" s="97" t="s">
        <v>4488</v>
      </c>
      <c r="H24" s="97" t="s">
        <v>4489</v>
      </c>
    </row>
    <row r="25" spans="4:8" ht="12.75" customHeight="1" x14ac:dyDescent="0.35"/>
    <row r="26" spans="4:8" ht="12.75" customHeight="1" x14ac:dyDescent="0.35">
      <c r="D26" s="97" t="s">
        <v>4490</v>
      </c>
      <c r="H26" s="97" t="str">
        <f ca="1">"Беск. ден. поток "&amp;Calculations!$Q$632</f>
        <v>Беск. ден. поток (12/2024)</v>
      </c>
    </row>
    <row r="27" spans="4:8" ht="12.75" customHeight="1" x14ac:dyDescent="0.35"/>
    <row r="28" spans="4:8" ht="12.75" customHeight="1" x14ac:dyDescent="0.35">
      <c r="D28" s="97" t="s">
        <v>4491</v>
      </c>
      <c r="H28" s="97" t="str">
        <f>"Тек. стоимость ("&amp;$F$11&amp;")"</f>
        <v>Тек. стоимость ()</v>
      </c>
    </row>
    <row r="29" spans="4:8" ht="12.75" customHeight="1" x14ac:dyDescent="0.35"/>
    <row r="30" spans="4:8" ht="12.75" customHeight="1" x14ac:dyDescent="0.35"/>
    <row r="31" spans="4:8" ht="12.75" customHeight="1" x14ac:dyDescent="0.35">
      <c r="D31" s="101" t="s">
        <v>4492</v>
      </c>
      <c r="H31" s="101" t="s">
        <v>4493</v>
      </c>
    </row>
    <row r="32" spans="4:8" ht="12.75" customHeight="1" x14ac:dyDescent="0.35"/>
    <row r="33" spans="4:4" ht="12.75" customHeight="1" x14ac:dyDescent="0.35">
      <c r="D33" s="97" t="s">
        <v>4481</v>
      </c>
    </row>
    <row r="34" spans="4:4" ht="12.75" customHeight="1" x14ac:dyDescent="0.35"/>
    <row r="35" spans="4:4" ht="12.75" customHeight="1" x14ac:dyDescent="0.35">
      <c r="D35" s="97" t="s">
        <v>5337</v>
      </c>
    </row>
    <row r="36" spans="4:4" ht="12.75" customHeight="1" x14ac:dyDescent="0.35">
      <c r="D36" s="97" t="s">
        <v>4494</v>
      </c>
    </row>
    <row r="37" spans="4:4" ht="12.75" customHeight="1" x14ac:dyDescent="0.35"/>
    <row r="38" spans="4:4" ht="12.75" customHeight="1" x14ac:dyDescent="0.35">
      <c r="D38" s="97" t="s">
        <v>4495</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4496</v>
      </c>
    </row>
    <row r="49" spans="1:8" ht="12.75" customHeight="1" x14ac:dyDescent="0.35">
      <c r="D49" s="97" t="s">
        <v>1803</v>
      </c>
      <c r="H49" s="101" t="s">
        <v>4497</v>
      </c>
    </row>
    <row r="50" spans="1:8" ht="12.75" customHeight="1" x14ac:dyDescent="0.35"/>
    <row r="51" spans="1:8" ht="12.75" customHeight="1" x14ac:dyDescent="0.35">
      <c r="D51" s="97" t="s">
        <v>4498</v>
      </c>
      <c r="E51" s="97" t="s">
        <v>4499</v>
      </c>
      <c r="F51" s="97" t="s">
        <v>1437</v>
      </c>
    </row>
    <row r="52" spans="1:8" ht="12.75" customHeight="1" x14ac:dyDescent="0.35">
      <c r="D52" s="97" t="s">
        <v>4500</v>
      </c>
    </row>
    <row r="53" spans="1:8" ht="12.75" customHeight="1" x14ac:dyDescent="0.35">
      <c r="D53" s="97" t="s">
        <v>4501</v>
      </c>
    </row>
    <row r="54" spans="1:8" ht="12.75" customHeight="1" x14ac:dyDescent="0.35">
      <c r="D54" s="97" t="s">
        <v>4502</v>
      </c>
    </row>
    <row r="55" spans="1:8" ht="12.75" customHeight="1" x14ac:dyDescent="0.35">
      <c r="D55" s="97" t="s">
        <v>4498</v>
      </c>
    </row>
    <row r="56" spans="1:8" ht="12.75" customHeight="1" x14ac:dyDescent="0.35"/>
    <row r="57" spans="1:8" ht="12.75" customHeight="1" x14ac:dyDescent="0.35">
      <c r="A57" s="97" t="s">
        <v>4503</v>
      </c>
      <c r="D57" s="97" t="s">
        <v>4504</v>
      </c>
    </row>
    <row r="58" spans="1:8" ht="12.75" customHeight="1" x14ac:dyDescent="0.35">
      <c r="A58" s="97" t="s">
        <v>4505</v>
      </c>
      <c r="D58" s="97" t="s">
        <v>4506</v>
      </c>
    </row>
    <row r="59" spans="1:8" ht="12.75" customHeight="1" x14ac:dyDescent="0.35"/>
    <row r="60" spans="1:8" ht="12.75" customHeight="1" x14ac:dyDescent="0.35">
      <c r="D60" s="97" t="s">
        <v>4507</v>
      </c>
      <c r="H60" s="97" t="s">
        <v>4508</v>
      </c>
    </row>
    <row r="61" spans="1:8" ht="12.75" customHeight="1" x14ac:dyDescent="0.35"/>
    <row r="62" spans="1:8" ht="12.75" customHeight="1" x14ac:dyDescent="0.35">
      <c r="D62" s="97" t="s">
        <v>4123</v>
      </c>
    </row>
    <row r="63" spans="1:8" ht="12.75" customHeight="1" x14ac:dyDescent="0.35">
      <c r="D63" s="97" t="s">
        <v>4509</v>
      </c>
    </row>
    <row r="64" spans="1:8" ht="12.75" customHeight="1" x14ac:dyDescent="0.35">
      <c r="D64" s="97" t="s">
        <v>4510</v>
      </c>
    </row>
    <row r="65" spans="4:8" ht="12.75" customHeight="1" x14ac:dyDescent="0.35">
      <c r="D65" s="97" t="str">
        <f ca="1">IF(ResultControlValue&lt;0,"Убыток от обесценения","Контрольная стоимость")&amp;" (В - А)"</f>
        <v>Контрольная стоимость (В - А)</v>
      </c>
    </row>
    <row r="66" spans="4:8" ht="12.75" customHeight="1" x14ac:dyDescent="0.35"/>
    <row r="67" spans="4:8" ht="12.75" customHeight="1" x14ac:dyDescent="0.35">
      <c r="D67" s="97" t="s">
        <v>4511</v>
      </c>
    </row>
    <row r="68" spans="4:8" ht="12.75" customHeight="1" x14ac:dyDescent="0.35">
      <c r="D68" s="101" t="s">
        <v>4512</v>
      </c>
    </row>
    <row r="69" spans="4:8" ht="12.75" customHeight="1" x14ac:dyDescent="0.35">
      <c r="D69" s="97" t="s">
        <v>4513</v>
      </c>
    </row>
    <row r="70" spans="4:8" ht="12.75" customHeight="1" x14ac:dyDescent="0.35">
      <c r="D70" s="97" t="s">
        <v>4514</v>
      </c>
    </row>
    <row r="71" spans="4:8" ht="12.75" customHeight="1" x14ac:dyDescent="0.35"/>
    <row r="72" spans="4:8" ht="12.75" customHeight="1" x14ac:dyDescent="0.35">
      <c r="D72" s="97" t="s">
        <v>4515</v>
      </c>
      <c r="H72" s="97" t="s">
        <v>4516</v>
      </c>
    </row>
    <row r="73" spans="4:8" ht="12.75" customHeight="1" x14ac:dyDescent="0.35">
      <c r="D73" s="97" t="str">
        <f ca="1">"Кумулятивный дисконтированный свободный денежный поток "&amp;IF(ISERROR($I$131),"",OFFSET(Calculations!$G$11,0,CalcPointPB))&amp;"-&gt;"&amp;IF(ISERROR(D77),F77,D77)</f>
        <v>Кумулятивный дисконтированный свободный денежный поток 9/2019-&gt;</v>
      </c>
    </row>
    <row r="74" spans="4:8" ht="12.75" customHeight="1" x14ac:dyDescent="0.35">
      <c r="D74" s="97" t="str">
        <f ca="1">"Кумулятивный дисконтированный свободный денежный поток "&amp;IF(ISERROR($I$131),"",OFFSET(Calculations!$G$11,0,CalcPointPB))&amp;"-&gt;"&amp;IF(ISERROR(E77),F77,IF(E77=D77,F77,E77))</f>
        <v>Кумулятивный дисконтированный свободный денежный поток 9/2019-&gt;</v>
      </c>
    </row>
    <row r="75" spans="4:8" ht="12.75" customHeight="1" x14ac:dyDescent="0.35">
      <c r="D75" s="97" t="s">
        <v>4517</v>
      </c>
    </row>
    <row r="76" spans="4:8" ht="12.75" customHeight="1" x14ac:dyDescent="0.35">
      <c r="D76" s="97" t="s">
        <v>4518</v>
      </c>
      <c r="H76" s="97" t="s">
        <v>4519</v>
      </c>
    </row>
    <row r="77" spans="4:8" ht="12.75" customHeight="1" x14ac:dyDescent="0.35"/>
    <row r="78" spans="4:8" ht="12.75" customHeight="1" x14ac:dyDescent="0.35">
      <c r="D78" s="97" t="s">
        <v>4520</v>
      </c>
      <c r="H78" s="97" t="str">
        <f>"Среднее за "&amp;IF(NOT(ISERROR($N78)),$N78&amp;" лет","-")</f>
        <v>Среднее за  лет</v>
      </c>
    </row>
    <row r="79" spans="4:8" ht="12.75" customHeight="1" x14ac:dyDescent="0.35">
      <c r="D79" s="97" t="s">
        <v>4521</v>
      </c>
      <c r="H79" s="97" t="str">
        <f>"Среднее за "&amp;IF(NOT(ISERROR($N79)),$N79&amp;" лет","-")</f>
        <v>Среднее за  лет</v>
      </c>
    </row>
    <row r="80" spans="4:8" ht="12.75" customHeight="1" x14ac:dyDescent="0.35"/>
    <row r="81" spans="4:4" ht="12.75" customHeight="1" x14ac:dyDescent="0.35">
      <c r="D81" s="97" t="s">
        <v>4522</v>
      </c>
    </row>
    <row r="82" spans="4:4" ht="12.75" customHeight="1" x14ac:dyDescent="0.35"/>
    <row r="83" spans="4:4" ht="12.75" customHeight="1" x14ac:dyDescent="0.35">
      <c r="D83" s="111" t="s">
        <v>4523</v>
      </c>
    </row>
    <row r="84" spans="4:4" ht="12.75" customHeight="1" x14ac:dyDescent="0.35">
      <c r="D84" s="111" t="s">
        <v>4524</v>
      </c>
    </row>
    <row r="85" spans="4:4" ht="12.75" customHeight="1" x14ac:dyDescent="0.35"/>
    <row r="86" spans="4:4" ht="12.75" customHeight="1" x14ac:dyDescent="0.35">
      <c r="D86" s="97" t="s">
        <v>4525</v>
      </c>
    </row>
    <row r="87" spans="4:4" ht="12.75" customHeight="1" x14ac:dyDescent="0.35">
      <c r="D87" s="97" t="str">
        <f ca="1">"Кумулятивная дисконтированная добавочная стоимость "&amp;IF(ISERROR($I$132),"",OFFSET(Calculations!$G$11,0,CalcPointPB))&amp;"-&gt;"&amp;IF(ISERROR($D$90),$F$90,$D$90)</f>
        <v>Кумулятивная дисконтированная добавочная стоимость 9/2019-&gt;</v>
      </c>
    </row>
    <row r="88" spans="4:4" ht="12.75" customHeight="1" x14ac:dyDescent="0.35">
      <c r="D88" s="97" t="str">
        <f ca="1">"Кумулятивная дисконтированная добавочная стоимость "&amp;IF(ISERROR($I$132),"",OFFSET(Calculations!$G$11,0,CalcPointPB))&amp;"-&gt;"&amp;IF(ISERROR($E$90),$F$90,IF($E$90=$D$90,$F$90,$E$90))</f>
        <v>Кумулятивная дисконтированная добавочная стоимость 9/2019-&gt;</v>
      </c>
    </row>
    <row r="89" spans="4:4" ht="12.75" customHeight="1" x14ac:dyDescent="0.35">
      <c r="D89" s="97" t="s">
        <v>4517</v>
      </c>
    </row>
    <row r="90" spans="4:4" ht="12.75" customHeight="1" x14ac:dyDescent="0.35"/>
    <row r="91" spans="4:4" ht="12.75" customHeight="1" x14ac:dyDescent="0.35">
      <c r="D91" s="97" t="s">
        <v>4526</v>
      </c>
    </row>
    <row r="92" spans="4:4" ht="12.75" customHeight="1" x14ac:dyDescent="0.35"/>
    <row r="93" spans="4:4" ht="12.75" customHeight="1" x14ac:dyDescent="0.35">
      <c r="D93" s="97" t="s">
        <v>4527</v>
      </c>
    </row>
    <row r="94" spans="4:4" ht="12.75" customHeight="1" x14ac:dyDescent="0.35"/>
    <row r="95" spans="4:4" ht="12.75" customHeight="1" x14ac:dyDescent="0.35">
      <c r="D95" s="97" t="s">
        <v>4528</v>
      </c>
    </row>
    <row r="96" spans="4:4" ht="12.75" customHeight="1" x14ac:dyDescent="0.35">
      <c r="D96" s="97" t="s">
        <v>4529</v>
      </c>
    </row>
    <row r="97" spans="4:8" ht="12.75" customHeight="1" x14ac:dyDescent="0.35"/>
    <row r="98" spans="4:8" ht="12.75" customHeight="1" x14ac:dyDescent="0.35">
      <c r="D98" s="97" t="s">
        <v>4485</v>
      </c>
    </row>
    <row r="99" spans="4:8" ht="12.75" customHeight="1" x14ac:dyDescent="0.35"/>
    <row r="100" spans="4:8" ht="12.75" customHeight="1" x14ac:dyDescent="0.35">
      <c r="D100" s="97" t="s">
        <v>4486</v>
      </c>
      <c r="H100" s="97" t="s">
        <v>4487</v>
      </c>
    </row>
    <row r="101" spans="4:8" ht="12.75" customHeight="1" x14ac:dyDescent="0.35"/>
    <row r="102" spans="4:8" ht="12.75" customHeight="1" x14ac:dyDescent="0.35">
      <c r="D102" s="97" t="str">
        <f>"      Ввести годовую стоимость"&amp;IF(TRIM($J$5)&lt;&gt;""," ("&amp;$J$5&amp;")","")</f>
        <v xml:space="preserve">      Ввести годовую стоимость</v>
      </c>
      <c r="H102" s="97" t="str">
        <f ca="1">"Баз. стоимость "&amp;Calculations!$Q$632</f>
        <v>Баз. стоимость (12/2024)</v>
      </c>
    </row>
    <row r="103" spans="4:8" ht="12.75" customHeight="1" x14ac:dyDescent="0.35"/>
    <row r="104" spans="4:8" ht="12.75" customHeight="1" x14ac:dyDescent="0.35">
      <c r="D104" s="97" t="s">
        <v>4488</v>
      </c>
      <c r="H104" s="97" t="s">
        <v>4489</v>
      </c>
    </row>
    <row r="105" spans="4:8" ht="12.75" customHeight="1" x14ac:dyDescent="0.35"/>
    <row r="106" spans="4:8" ht="12.75" customHeight="1" x14ac:dyDescent="0.35">
      <c r="D106" s="97" t="s">
        <v>4530</v>
      </c>
      <c r="H106" s="97" t="str">
        <f ca="1">"Беск. ден. поток "&amp;Calculations!$Q$632</f>
        <v>Беск. ден. поток (12/2024)</v>
      </c>
    </row>
    <row r="107" spans="4:8" ht="12.75" customHeight="1" x14ac:dyDescent="0.35"/>
    <row r="108" spans="4:8" ht="12.75" customHeight="1" x14ac:dyDescent="0.35">
      <c r="D108" s="97" t="s">
        <v>4491</v>
      </c>
      <c r="H108" s="97" t="str">
        <f>"Тек. стоимость ("&amp;$F$11&amp;")"</f>
        <v>Тек. стоимость ()</v>
      </c>
    </row>
    <row r="109" spans="4:8" ht="12.75" customHeight="1" x14ac:dyDescent="0.35"/>
    <row r="110" spans="4:8" ht="12.75" customHeight="1" x14ac:dyDescent="0.35">
      <c r="D110" s="101" t="s">
        <v>4531</v>
      </c>
    </row>
    <row r="111" spans="4:8" ht="12.75" customHeight="1" x14ac:dyDescent="0.35">
      <c r="D111" s="97" t="s">
        <v>4532</v>
      </c>
    </row>
    <row r="112" spans="4:8" ht="12.75" customHeight="1" x14ac:dyDescent="0.35">
      <c r="D112" s="97" t="s">
        <v>4533</v>
      </c>
    </row>
    <row r="113" spans="4:8" ht="12.75" customHeight="1" x14ac:dyDescent="0.35"/>
    <row r="114" spans="4:8" ht="12.75" customHeight="1" x14ac:dyDescent="0.35">
      <c r="D114" s="97" t="s">
        <v>4534</v>
      </c>
    </row>
    <row r="115" spans="4:8" ht="12.75" customHeight="1" x14ac:dyDescent="0.35">
      <c r="D115" s="101" t="s">
        <v>4535</v>
      </c>
    </row>
    <row r="116" spans="4:8" ht="12.75" customHeight="1" x14ac:dyDescent="0.35">
      <c r="D116" s="97" t="s">
        <v>4536</v>
      </c>
    </row>
    <row r="117" spans="4:8" ht="12.75" customHeight="1" x14ac:dyDescent="0.35"/>
    <row r="118" spans="4:8" ht="12.75" customHeight="1" x14ac:dyDescent="0.35">
      <c r="D118" s="97" t="s">
        <v>4537</v>
      </c>
      <c r="H118" s="97" t="s">
        <v>4538</v>
      </c>
    </row>
    <row r="119" spans="4:8" ht="12.75" customHeight="1" x14ac:dyDescent="0.35">
      <c r="D119" s="97" t="str">
        <f ca="1">"Совокупный дисконтированный FCFE "&amp;IF(ISERROR($G$131),"",OFFSET(Calculations!$G$11,0,CalcPointPB))&amp;"-&gt;"&amp;IF(ISERROR($D$123),$F$123,$D$123)</f>
        <v>Совокупный дисконтированный FCFE 9/2019-&gt;</v>
      </c>
    </row>
    <row r="120" spans="4:8" ht="12.75" customHeight="1" x14ac:dyDescent="0.35">
      <c r="D120" s="97" t="str">
        <f ca="1">"Совокупный дисконтированный FCFE "&amp;IF(ISERROR($G$131),"",OFFSET(Calculations!$G$11,0,CalcPointPB))&amp;"-&gt;"&amp;IF(ISERROR($E$123),$F$123,IF($E$123=$D$123,$F$123,$E$123))</f>
        <v>Совокупный дисконтированный FCFE 9/2019-&gt;</v>
      </c>
    </row>
    <row r="121" spans="4:8" ht="12.75" customHeight="1" x14ac:dyDescent="0.35">
      <c r="D121" s="97" t="s">
        <v>4517</v>
      </c>
    </row>
    <row r="122" spans="4:8" ht="12.75" customHeight="1" x14ac:dyDescent="0.35">
      <c r="D122" s="97" t="s">
        <v>4539</v>
      </c>
      <c r="H122" s="97" t="s">
        <v>4540</v>
      </c>
    </row>
    <row r="123" spans="4:8" ht="12.75" customHeight="1" x14ac:dyDescent="0.35"/>
    <row r="124" spans="4:8" ht="12.75" customHeight="1" x14ac:dyDescent="0.35"/>
    <row r="125" spans="4:8" ht="12.75" customHeight="1" x14ac:dyDescent="0.35">
      <c r="D125" s="97" t="s">
        <v>4541</v>
      </c>
    </row>
    <row r="126" spans="4:8" ht="12.75" customHeight="1" x14ac:dyDescent="0.35">
      <c r="D126" s="97" t="s">
        <v>4542</v>
      </c>
    </row>
    <row r="127" spans="4:8" ht="12.75" customHeight="1" x14ac:dyDescent="0.35"/>
    <row r="128" spans="4:8" ht="12.75" customHeight="1" x14ac:dyDescent="0.35"/>
    <row r="129" spans="4:4" ht="12.75" customHeight="1" x14ac:dyDescent="0.35"/>
    <row r="130" spans="4:4" ht="12.75" customHeight="1" x14ac:dyDescent="0.35">
      <c r="D130" s="97" t="s">
        <v>4543</v>
      </c>
    </row>
  </sheetData>
  <printOptions gridLines="1"/>
  <pageMargins left="0.75" right="0.75" top="1" bottom="1" header="0.5" footer="0.5"/>
  <pageSetup paperSize="9" orientation="portrait" r:id="rId1"/>
  <headerFooter>
    <oddHeader>&amp;C&amp;A</oddHeader>
    <oddFooter>&amp;CPage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tabColor rgb="FF92D050"/>
    <pageSetUpPr autoPageBreaks="0"/>
  </sheetPr>
  <dimension ref="A1:O130"/>
  <sheetViews>
    <sheetView topLeftCell="A52" workbookViewId="0">
      <selection activeCell="E82" sqref="E82"/>
    </sheetView>
  </sheetViews>
  <sheetFormatPr defaultColWidth="9.1796875" defaultRowHeight="14.5" x14ac:dyDescent="0.35"/>
  <cols>
    <col min="1" max="2" width="4" style="1285" customWidth="1"/>
    <col min="3" max="3" width="9.1796875" style="1285"/>
    <col min="4" max="4" width="48.7265625" style="1305" customWidth="1"/>
    <col min="5" max="5" width="13.7265625" style="1285" customWidth="1"/>
    <col min="6" max="16384" width="9.1796875" style="1285"/>
  </cols>
  <sheetData>
    <row r="1" spans="3:15" ht="12.75" customHeight="1" x14ac:dyDescent="0.35">
      <c r="C1" s="220" t="s">
        <v>5976</v>
      </c>
      <c r="N1" s="220" t="s">
        <v>5977</v>
      </c>
      <c r="O1" s="1286" t="s">
        <v>4472</v>
      </c>
    </row>
    <row r="2" spans="3:15" ht="12.75" customHeight="1" x14ac:dyDescent="0.35"/>
    <row r="3" spans="3:15" ht="12.75" customHeight="1" x14ac:dyDescent="0.35">
      <c r="C3" s="220" t="s">
        <v>5978</v>
      </c>
    </row>
    <row r="4" spans="3:15" ht="12.75" customHeight="1" x14ac:dyDescent="0.35"/>
    <row r="5" spans="3:15" ht="12.75" customHeight="1" x14ac:dyDescent="0.35">
      <c r="D5" s="1306" t="s">
        <v>5979</v>
      </c>
    </row>
    <row r="6" spans="3:15" ht="12.75" customHeight="1" x14ac:dyDescent="0.35">
      <c r="D6" s="1306" t="s">
        <v>5980</v>
      </c>
    </row>
    <row r="7" spans="3:15" ht="12.75" customHeight="1" x14ac:dyDescent="0.35"/>
    <row r="8" spans="3:15" ht="12.75" customHeight="1" x14ac:dyDescent="0.35">
      <c r="D8" s="1306" t="s">
        <v>5981</v>
      </c>
      <c r="I8" s="220" t="s">
        <v>5982</v>
      </c>
    </row>
    <row r="9" spans="3:15" ht="12.75" customHeight="1" x14ac:dyDescent="0.35">
      <c r="D9" s="1306" t="s">
        <v>5983</v>
      </c>
    </row>
    <row r="10" spans="3:15" ht="12.75" customHeight="1" x14ac:dyDescent="0.35">
      <c r="D10" s="1306" t="s">
        <v>5984</v>
      </c>
      <c r="H10" s="1286" t="s">
        <v>5717</v>
      </c>
    </row>
    <row r="11" spans="3:15" ht="12.75" customHeight="1" x14ac:dyDescent="0.35">
      <c r="D11" s="1306" t="s">
        <v>5985</v>
      </c>
      <c r="H11" s="159" t="s">
        <v>6130</v>
      </c>
    </row>
    <row r="12" spans="3:15" ht="12.75" customHeight="1" x14ac:dyDescent="0.35">
      <c r="H12"/>
    </row>
    <row r="13" spans="3:15" ht="12.75" customHeight="1" x14ac:dyDescent="0.35"/>
    <row r="14" spans="3:15" ht="12.75" customHeight="1" x14ac:dyDescent="0.35">
      <c r="D14" s="1306" t="s">
        <v>5986</v>
      </c>
      <c r="H14" s="220" t="s">
        <v>5987</v>
      </c>
      <c r="J14" s="97" t="s">
        <v>5988</v>
      </c>
    </row>
    <row r="15" spans="3:15" ht="12.75" customHeight="1" x14ac:dyDescent="0.35">
      <c r="D15" s="1306" t="s">
        <v>5989</v>
      </c>
    </row>
    <row r="16" spans="3:15" ht="12.75" customHeight="1" x14ac:dyDescent="0.35">
      <c r="D16" s="1306" t="s">
        <v>5990</v>
      </c>
    </row>
    <row r="17" spans="4:10" ht="12.75" customHeight="1" x14ac:dyDescent="0.35"/>
    <row r="18" spans="4:10" ht="12.75" customHeight="1" x14ac:dyDescent="0.35">
      <c r="D18" s="1307" t="s">
        <v>6135</v>
      </c>
      <c r="J18"/>
    </row>
    <row r="19" spans="4:10" ht="12.75" customHeight="1" x14ac:dyDescent="0.35"/>
    <row r="20" spans="4:10" ht="12.75" customHeight="1" x14ac:dyDescent="0.35">
      <c r="D20" s="1306" t="s">
        <v>5998</v>
      </c>
      <c r="H20" s="220" t="s">
        <v>5991</v>
      </c>
    </row>
    <row r="21" spans="4:10" ht="12.75" customHeight="1" x14ac:dyDescent="0.35"/>
    <row r="22" spans="4:10" ht="12.75" customHeight="1" x14ac:dyDescent="0.35">
      <c r="D22" s="1308" t="str">
        <f>"      Въведете годишната стойност"&amp;IF(TRIM($J$5)&lt;&gt;""," ("&amp;$J$5&amp;")","")</f>
        <v xml:space="preserve">      Въведете годишната стойност</v>
      </c>
      <c r="H22" s="116" t="str">
        <f ca="1">"БПП "&amp;Calculations!$Q$632</f>
        <v>БПП (12/2024)</v>
      </c>
    </row>
    <row r="23" spans="4:10" ht="12.75" customHeight="1" x14ac:dyDescent="0.35"/>
    <row r="24" spans="4:10" ht="12.75" customHeight="1" x14ac:dyDescent="0.35">
      <c r="D24" s="1308" t="s">
        <v>6136</v>
      </c>
      <c r="H24" s="116" t="s">
        <v>6160</v>
      </c>
    </row>
    <row r="25" spans="4:10" ht="12.75" customHeight="1" x14ac:dyDescent="0.35"/>
    <row r="26" spans="4:10" ht="12.75" customHeight="1" x14ac:dyDescent="0.35">
      <c r="D26" s="1306" t="s">
        <v>5992</v>
      </c>
      <c r="H26" s="116" t="str">
        <f ca="1">"БПП "&amp;Calculations!$Q$632</f>
        <v>БПП (12/2024)</v>
      </c>
    </row>
    <row r="27" spans="4:10" ht="12.75" customHeight="1" x14ac:dyDescent="0.35"/>
    <row r="28" spans="4:10" ht="12.75" customHeight="1" x14ac:dyDescent="0.35">
      <c r="D28" s="1306" t="s">
        <v>5993</v>
      </c>
      <c r="H28" s="159" t="str">
        <f>"Текуща стойност ("&amp;$F$11&amp;")"</f>
        <v>Текуща стойност ()</v>
      </c>
    </row>
    <row r="29" spans="4:10" ht="12.75" customHeight="1" x14ac:dyDescent="0.35"/>
    <row r="30" spans="4:10" ht="12.75" customHeight="1" x14ac:dyDescent="0.35"/>
    <row r="31" spans="4:10" ht="12.75" customHeight="1" x14ac:dyDescent="0.35">
      <c r="D31" s="1306" t="s">
        <v>5994</v>
      </c>
      <c r="H31" s="220" t="s">
        <v>5995</v>
      </c>
    </row>
    <row r="32" spans="4:10" ht="12.75" customHeight="1" x14ac:dyDescent="0.35"/>
    <row r="33" spans="4:8" ht="12.75" customHeight="1" x14ac:dyDescent="0.35">
      <c r="D33" s="1306" t="s">
        <v>5986</v>
      </c>
    </row>
    <row r="34" spans="4:8" ht="12.75" customHeight="1" x14ac:dyDescent="0.35"/>
    <row r="35" spans="4:8" ht="12.75" customHeight="1" x14ac:dyDescent="0.35">
      <c r="D35" s="1306" t="s">
        <v>5996</v>
      </c>
    </row>
    <row r="36" spans="4:8" ht="12.75" customHeight="1" x14ac:dyDescent="0.35">
      <c r="D36" s="1306" t="s">
        <v>5997</v>
      </c>
    </row>
    <row r="37" spans="4:8" ht="12.75" customHeight="1" x14ac:dyDescent="0.35"/>
    <row r="38" spans="4:8" ht="12.75" customHeight="1" x14ac:dyDescent="0.35">
      <c r="D38" s="1309" t="s">
        <v>6183</v>
      </c>
      <c r="E38" s="1288"/>
      <c r="F38" s="1289"/>
      <c r="G38" s="1288"/>
      <c r="H38" s="1288"/>
    </row>
    <row r="39" spans="4:8" ht="12.75" customHeight="1" x14ac:dyDescent="0.35">
      <c r="D39" s="1310"/>
      <c r="E39" s="1288"/>
      <c r="F39" s="1289"/>
      <c r="G39" s="1288"/>
      <c r="H39" s="1288"/>
    </row>
    <row r="40" spans="4:8" ht="12.75" customHeight="1" x14ac:dyDescent="0.35">
      <c r="D40" s="1310"/>
      <c r="E40" s="1288"/>
      <c r="F40" s="1289"/>
      <c r="G40" s="1288"/>
      <c r="H40" s="1288"/>
    </row>
    <row r="41" spans="4:8" ht="12.75" customHeight="1" x14ac:dyDescent="0.35">
      <c r="D41" s="1310"/>
      <c r="E41" s="1288"/>
      <c r="F41" s="1289"/>
      <c r="G41" s="1288"/>
      <c r="H41" s="1288"/>
    </row>
    <row r="42" spans="4:8" ht="12.75" customHeight="1" x14ac:dyDescent="0.35">
      <c r="D42" s="1310"/>
      <c r="E42" s="1288"/>
      <c r="F42" s="1289"/>
      <c r="G42" s="1288"/>
      <c r="H42" s="1288"/>
    </row>
    <row r="43" spans="4:8" ht="12.75" customHeight="1" x14ac:dyDescent="0.35">
      <c r="D43" s="1310"/>
      <c r="E43" s="1288"/>
      <c r="F43" s="1289"/>
      <c r="G43" s="1288"/>
      <c r="H43" s="1288"/>
    </row>
    <row r="44" spans="4:8" ht="12.75" customHeight="1" x14ac:dyDescent="0.35">
      <c r="D44" s="1310"/>
      <c r="E44" s="1288"/>
      <c r="F44" s="1289"/>
      <c r="G44" s="1288"/>
      <c r="H44" s="1288"/>
    </row>
    <row r="45" spans="4:8" ht="12.75" customHeight="1" x14ac:dyDescent="0.35">
      <c r="D45" s="1310"/>
      <c r="E45" s="1288"/>
      <c r="F45" s="1289"/>
      <c r="G45" s="1288"/>
      <c r="H45" s="1288"/>
    </row>
    <row r="46" spans="4:8" ht="12.75" customHeight="1" x14ac:dyDescent="0.35">
      <c r="D46" s="1310"/>
      <c r="E46" s="1288"/>
      <c r="F46" s="1289"/>
      <c r="G46" s="1288"/>
      <c r="H46" s="1288"/>
    </row>
    <row r="47" spans="4:8" ht="12.75" customHeight="1" x14ac:dyDescent="0.35">
      <c r="D47" s="1310"/>
      <c r="E47" s="1288"/>
      <c r="F47" s="1289"/>
      <c r="G47" s="1288"/>
      <c r="H47" s="1288"/>
    </row>
    <row r="48" spans="4:8" ht="12.75" customHeight="1" x14ac:dyDescent="0.35">
      <c r="D48" s="1309" t="s">
        <v>6184</v>
      </c>
      <c r="E48" s="1288"/>
      <c r="F48" s="1289"/>
      <c r="G48" s="1288"/>
      <c r="H48" s="1288"/>
    </row>
    <row r="49" spans="1:8" ht="12.75" customHeight="1" x14ac:dyDescent="0.35">
      <c r="D49" s="1309" t="s">
        <v>1803</v>
      </c>
      <c r="E49" s="1288"/>
      <c r="F49" s="1289"/>
      <c r="G49" s="1288"/>
      <c r="H49" s="1290" t="s">
        <v>4497</v>
      </c>
    </row>
    <row r="50" spans="1:8" ht="12.75" customHeight="1" x14ac:dyDescent="0.35">
      <c r="D50" s="1311"/>
      <c r="E50" s="1288"/>
      <c r="F50" s="1289"/>
      <c r="G50" s="1288"/>
      <c r="H50" s="1288"/>
    </row>
    <row r="51" spans="1:8" ht="12.75" customHeight="1" x14ac:dyDescent="0.35">
      <c r="D51" s="1312" t="s">
        <v>6161</v>
      </c>
      <c r="E51" s="1286" t="s">
        <v>4499</v>
      </c>
      <c r="F51" s="1286" t="s">
        <v>1437</v>
      </c>
    </row>
    <row r="52" spans="1:8" ht="12.75" customHeight="1" x14ac:dyDescent="0.35">
      <c r="D52" s="1312" t="s">
        <v>6162</v>
      </c>
    </row>
    <row r="53" spans="1:8" ht="12.75" customHeight="1" x14ac:dyDescent="0.35">
      <c r="D53" s="1312" t="s">
        <v>6163</v>
      </c>
    </row>
    <row r="54" spans="1:8" ht="12.75" customHeight="1" x14ac:dyDescent="0.35">
      <c r="D54" s="1306" t="s">
        <v>6185</v>
      </c>
    </row>
    <row r="55" spans="1:8" ht="12.75" customHeight="1" x14ac:dyDescent="0.35">
      <c r="D55" s="1312" t="s">
        <v>6164</v>
      </c>
    </row>
    <row r="56" spans="1:8" ht="12.75" customHeight="1" x14ac:dyDescent="0.35"/>
    <row r="57" spans="1:8" ht="12.75" customHeight="1" x14ac:dyDescent="0.35">
      <c r="A57" s="1286" t="s">
        <v>6206</v>
      </c>
      <c r="D57" s="1312" t="s">
        <v>6165</v>
      </c>
    </row>
    <row r="58" spans="1:8" ht="12.75" customHeight="1" x14ac:dyDescent="0.35">
      <c r="A58" s="1286" t="s">
        <v>6207</v>
      </c>
      <c r="D58" s="1313" t="s">
        <v>6166</v>
      </c>
      <c r="E58" s="1288"/>
      <c r="F58" s="1289"/>
      <c r="G58" s="1288"/>
      <c r="H58" s="1288"/>
    </row>
    <row r="59" spans="1:8" ht="12.75" customHeight="1" x14ac:dyDescent="0.35">
      <c r="D59" s="1311"/>
      <c r="E59" s="1288"/>
      <c r="F59" s="1289"/>
      <c r="G59" s="1288"/>
      <c r="H59" s="1288"/>
    </row>
    <row r="60" spans="1:8" ht="12.75" customHeight="1" x14ac:dyDescent="0.35">
      <c r="D60" s="1314" t="s">
        <v>6186</v>
      </c>
      <c r="E60" s="1292"/>
      <c r="F60" s="1293"/>
      <c r="G60" s="1292"/>
      <c r="H60" s="1291" t="s">
        <v>4508</v>
      </c>
    </row>
    <row r="61" spans="1:8" ht="12.75" customHeight="1" x14ac:dyDescent="0.35">
      <c r="D61" s="1315"/>
      <c r="E61" s="1292"/>
      <c r="F61" s="1293"/>
      <c r="G61" s="1292"/>
      <c r="H61" s="1292"/>
    </row>
    <row r="62" spans="1:8" ht="12.75" customHeight="1" x14ac:dyDescent="0.35">
      <c r="D62" s="1316" t="s">
        <v>4123</v>
      </c>
      <c r="E62" s="1292"/>
      <c r="F62" s="1293"/>
      <c r="G62" s="1292"/>
      <c r="H62" s="1292"/>
    </row>
    <row r="63" spans="1:8" ht="12.75" customHeight="1" x14ac:dyDescent="0.35">
      <c r="D63" s="1316" t="s">
        <v>6187</v>
      </c>
      <c r="E63" s="1292"/>
      <c r="F63" s="1293"/>
      <c r="G63" s="1292"/>
      <c r="H63" s="1292"/>
    </row>
    <row r="64" spans="1:8" ht="12.75" customHeight="1" x14ac:dyDescent="0.35">
      <c r="D64" s="1316" t="s">
        <v>6188</v>
      </c>
      <c r="E64" s="1292"/>
      <c r="F64" s="1293"/>
      <c r="G64" s="1292"/>
      <c r="H64" s="1292"/>
    </row>
    <row r="65" spans="4:8" ht="12.75" customHeight="1" x14ac:dyDescent="0.35">
      <c r="D65" s="1317" t="str">
        <f ca="1">IF(ResultControlValue&lt;0,"загубата от обезценка","Контролна стойност")&amp;" (B - A)"</f>
        <v>Контролна стойност (B - A)</v>
      </c>
      <c r="E65" s="1292"/>
      <c r="F65" s="1293"/>
      <c r="G65" s="1292"/>
      <c r="H65" s="1292"/>
    </row>
    <row r="66" spans="4:8" ht="12.75" customHeight="1" x14ac:dyDescent="0.35">
      <c r="D66" s="1315"/>
      <c r="E66" s="1292"/>
      <c r="F66" s="1293"/>
      <c r="G66" s="1292"/>
      <c r="H66" s="1292"/>
    </row>
    <row r="67" spans="4:8" ht="12.75" customHeight="1" x14ac:dyDescent="0.35">
      <c r="D67" s="1312" t="s">
        <v>6167</v>
      </c>
    </row>
    <row r="68" spans="4:8" ht="12.75" customHeight="1" x14ac:dyDescent="0.35">
      <c r="D68" s="1312" t="s">
        <v>6204</v>
      </c>
    </row>
    <row r="69" spans="4:8" ht="12.75" customHeight="1" x14ac:dyDescent="0.35">
      <c r="D69" s="1318" t="s">
        <v>6205</v>
      </c>
    </row>
    <row r="70" spans="4:8" ht="12.75" customHeight="1" x14ac:dyDescent="0.35">
      <c r="D70" s="1312" t="s">
        <v>6168</v>
      </c>
    </row>
    <row r="71" spans="4:8" ht="12.75" customHeight="1" x14ac:dyDescent="0.35"/>
    <row r="72" spans="4:8" ht="12.75" customHeight="1" x14ac:dyDescent="0.35">
      <c r="D72" s="1312" t="s">
        <v>6169</v>
      </c>
      <c r="H72" s="1286" t="s">
        <v>4516</v>
      </c>
    </row>
    <row r="73" spans="4:8" ht="12.75" customHeight="1" x14ac:dyDescent="0.35">
      <c r="D73" s="1312" t="s">
        <v>6208</v>
      </c>
    </row>
    <row r="74" spans="4:8" ht="12.75" customHeight="1" x14ac:dyDescent="0.35">
      <c r="D74" s="1312" t="s">
        <v>6208</v>
      </c>
    </row>
    <row r="75" spans="4:8" ht="12.75" customHeight="1" x14ac:dyDescent="0.35">
      <c r="D75" s="1306" t="s">
        <v>6189</v>
      </c>
    </row>
    <row r="76" spans="4:8" ht="12.75" customHeight="1" x14ac:dyDescent="0.35">
      <c r="D76" s="1312" t="s">
        <v>6169</v>
      </c>
      <c r="H76" s="1286" t="s">
        <v>4519</v>
      </c>
    </row>
    <row r="77" spans="4:8" ht="12.75" customHeight="1" x14ac:dyDescent="0.35"/>
    <row r="78" spans="4:8" ht="12.75" customHeight="1" x14ac:dyDescent="0.35">
      <c r="D78" s="1312" t="s">
        <v>6170</v>
      </c>
      <c r="H78" s="1303" t="str">
        <f>"Средно за "&amp;IF(NOT(ISERROR($N78)),$N78&amp;" год.","-")</f>
        <v>Средно за  год.</v>
      </c>
    </row>
    <row r="79" spans="4:8" ht="12.75" customHeight="1" x14ac:dyDescent="0.35">
      <c r="D79" s="1312" t="s">
        <v>5813</v>
      </c>
      <c r="H79" s="1303" t="str">
        <f>"Средно за "&amp;IF(NOT(ISERROR($N79)),$N79&amp;" год.","-")</f>
        <v>Средно за  год.</v>
      </c>
    </row>
    <row r="80" spans="4:8" ht="12.75" customHeight="1" x14ac:dyDescent="0.35"/>
    <row r="81" spans="4:8" ht="12.75" customHeight="1" x14ac:dyDescent="0.35">
      <c r="D81" s="1313" t="s">
        <v>5814</v>
      </c>
      <c r="E81" s="1288"/>
      <c r="F81" s="1289"/>
      <c r="G81" s="1288"/>
      <c r="H81" s="1288"/>
    </row>
    <row r="82" spans="4:8" ht="12.75" customHeight="1" x14ac:dyDescent="0.35">
      <c r="D82" s="1311"/>
      <c r="E82" s="1288"/>
      <c r="F82" s="1289"/>
      <c r="G82" s="1288"/>
      <c r="H82" s="1288"/>
    </row>
    <row r="83" spans="4:8" ht="12.75" customHeight="1" x14ac:dyDescent="0.35">
      <c r="D83" s="1313" t="s">
        <v>6190</v>
      </c>
      <c r="E83" s="1288"/>
      <c r="F83" s="1289"/>
      <c r="G83" s="1288"/>
      <c r="H83" s="1288"/>
    </row>
    <row r="84" spans="4:8" ht="12.75" customHeight="1" x14ac:dyDescent="0.35">
      <c r="D84" s="1313" t="s">
        <v>6191</v>
      </c>
      <c r="E84" s="1288"/>
      <c r="F84" s="1289"/>
      <c r="G84" s="1288"/>
      <c r="H84" s="1288"/>
    </row>
    <row r="85" spans="4:8" ht="12.75" customHeight="1" x14ac:dyDescent="0.35">
      <c r="D85" s="1311"/>
      <c r="E85" s="1288"/>
      <c r="F85" s="1289"/>
      <c r="G85" s="1288"/>
      <c r="H85" s="1288"/>
    </row>
    <row r="86" spans="4:8" ht="12.75" customHeight="1" x14ac:dyDescent="0.35">
      <c r="D86" s="1313" t="s">
        <v>6203</v>
      </c>
      <c r="E86" s="1288"/>
      <c r="F86" s="1289"/>
      <c r="G86" s="1288"/>
      <c r="H86" s="1288"/>
    </row>
    <row r="87" spans="4:8" ht="12.75" customHeight="1" x14ac:dyDescent="0.35">
      <c r="D87" s="1313" t="s">
        <v>6209</v>
      </c>
      <c r="E87" s="1288"/>
      <c r="F87" s="1289"/>
      <c r="G87" s="1288"/>
      <c r="H87" s="1288"/>
    </row>
    <row r="88" spans="4:8" ht="12.75" customHeight="1" x14ac:dyDescent="0.35">
      <c r="D88" s="1313" t="s">
        <v>6209</v>
      </c>
      <c r="E88" s="1288"/>
      <c r="F88" s="1289"/>
      <c r="G88" s="1288"/>
      <c r="H88" s="1288"/>
    </row>
    <row r="89" spans="4:8" ht="12.75" customHeight="1" x14ac:dyDescent="0.35">
      <c r="D89" s="1313" t="s">
        <v>6171</v>
      </c>
      <c r="E89" s="1288"/>
      <c r="F89" s="1289"/>
      <c r="G89" s="1288"/>
      <c r="H89" s="1288"/>
    </row>
    <row r="90" spans="4:8" ht="12.75" customHeight="1" x14ac:dyDescent="0.35">
      <c r="D90" s="1311"/>
      <c r="E90" s="1288"/>
      <c r="F90" s="1289"/>
      <c r="G90" s="1288"/>
      <c r="H90" s="1288"/>
    </row>
    <row r="91" spans="4:8" ht="12.75" customHeight="1" x14ac:dyDescent="0.35">
      <c r="D91" s="1312" t="s">
        <v>6172</v>
      </c>
    </row>
    <row r="92" spans="4:8" ht="12.75" customHeight="1" x14ac:dyDescent="0.35"/>
    <row r="93" spans="4:8" ht="12.75" customHeight="1" x14ac:dyDescent="0.35">
      <c r="D93" s="1312" t="s">
        <v>6173</v>
      </c>
    </row>
    <row r="94" spans="4:8" ht="12.75" customHeight="1" x14ac:dyDescent="0.35"/>
    <row r="95" spans="4:8" ht="12.75" customHeight="1" x14ac:dyDescent="0.35">
      <c r="D95" s="1312" t="s">
        <v>6192</v>
      </c>
    </row>
    <row r="96" spans="4:8" ht="12.75" customHeight="1" x14ac:dyDescent="0.35">
      <c r="D96" s="1312" t="s">
        <v>6193</v>
      </c>
    </row>
    <row r="97" spans="4:8" ht="12.75" customHeight="1" x14ac:dyDescent="0.35"/>
    <row r="98" spans="4:8" ht="12.75" customHeight="1" x14ac:dyDescent="0.35">
      <c r="D98" s="1307" t="s">
        <v>6135</v>
      </c>
    </row>
    <row r="99" spans="4:8" ht="12.75" customHeight="1" x14ac:dyDescent="0.35"/>
    <row r="100" spans="4:8" ht="12.75" customHeight="1" x14ac:dyDescent="0.35">
      <c r="D100" s="1312" t="s">
        <v>6174</v>
      </c>
      <c r="H100" s="1303" t="s">
        <v>6175</v>
      </c>
    </row>
    <row r="101" spans="4:8" ht="12.75" customHeight="1" x14ac:dyDescent="0.35"/>
    <row r="102" spans="4:8" ht="12.75" customHeight="1" x14ac:dyDescent="0.35">
      <c r="D102" s="1312" t="str">
        <f>"      Въведете годишната стойност "&amp;IF(TRIM($J$5)&lt;&gt;"","("&amp;$J$5&amp;")","")</f>
        <v xml:space="preserve">      Въведете годишната стойност </v>
      </c>
      <c r="H102" s="1303" t="str">
        <f ca="1">"Базова ставка "&amp;Calculations!$Q$632&amp;""</f>
        <v>Базова ставка (12/2024)</v>
      </c>
    </row>
    <row r="103" spans="4:8" ht="12.75" customHeight="1" x14ac:dyDescent="0.35"/>
    <row r="104" spans="4:8" ht="12.75" customHeight="1" x14ac:dyDescent="0.35">
      <c r="D104" s="1307" t="s">
        <v>6136</v>
      </c>
      <c r="H104" s="1303" t="s">
        <v>6176</v>
      </c>
    </row>
    <row r="105" spans="4:8" ht="12.75" customHeight="1" x14ac:dyDescent="0.35"/>
    <row r="106" spans="4:8" ht="12.75" customHeight="1" x14ac:dyDescent="0.35">
      <c r="D106" s="1312" t="s">
        <v>6177</v>
      </c>
      <c r="H106" s="1303" t="str">
        <f ca="1">"Безкр.Пар.Поток "&amp;Calculations!$Q$632&amp;""</f>
        <v>Безкр.Пар.Поток (12/2024)</v>
      </c>
    </row>
    <row r="107" spans="4:8" ht="12.75" customHeight="1" x14ac:dyDescent="0.35"/>
    <row r="108" spans="4:8" ht="12.75" customHeight="1" x14ac:dyDescent="0.35">
      <c r="D108" s="1312" t="s">
        <v>6178</v>
      </c>
      <c r="H108" s="1303" t="str">
        <f>"Тек. стойност ("&amp;$F$11&amp;")"</f>
        <v>Тек. стойност ()</v>
      </c>
    </row>
    <row r="109" spans="4:8" ht="12.75" customHeight="1" x14ac:dyDescent="0.35"/>
    <row r="110" spans="4:8" ht="12.75" customHeight="1" x14ac:dyDescent="0.35">
      <c r="D110" s="1312" t="s">
        <v>6194</v>
      </c>
    </row>
    <row r="111" spans="4:8" ht="12.75" customHeight="1" x14ac:dyDescent="0.35">
      <c r="D111" s="1312" t="s">
        <v>6195</v>
      </c>
    </row>
    <row r="112" spans="4:8" ht="12.75" customHeight="1" x14ac:dyDescent="0.35">
      <c r="D112" s="1312" t="s">
        <v>6179</v>
      </c>
    </row>
    <row r="113" spans="4:8" ht="12.75" customHeight="1" x14ac:dyDescent="0.35"/>
    <row r="114" spans="4:8" ht="12.75" customHeight="1" x14ac:dyDescent="0.35">
      <c r="D114" s="1312" t="s">
        <v>6201</v>
      </c>
    </row>
    <row r="115" spans="4:8" ht="12.75" customHeight="1" x14ac:dyDescent="0.35">
      <c r="D115" s="1312" t="s">
        <v>6196</v>
      </c>
    </row>
    <row r="116" spans="4:8" ht="12.75" customHeight="1" x14ac:dyDescent="0.35">
      <c r="D116" s="1312" t="s">
        <v>6202</v>
      </c>
    </row>
    <row r="117" spans="4:8" ht="12.75" customHeight="1" x14ac:dyDescent="0.35"/>
    <row r="118" spans="4:8" ht="12.75" customHeight="1" x14ac:dyDescent="0.35">
      <c r="D118" s="1312" t="s">
        <v>6181</v>
      </c>
      <c r="H118" s="1304" t="s">
        <v>6180</v>
      </c>
    </row>
    <row r="119" spans="4:8" ht="12.75" customHeight="1" x14ac:dyDescent="0.35">
      <c r="D119" s="1308" t="s">
        <v>6210</v>
      </c>
    </row>
    <row r="120" spans="4:8" ht="12.75" customHeight="1" x14ac:dyDescent="0.35">
      <c r="D120" s="1308" t="s">
        <v>6210</v>
      </c>
    </row>
    <row r="121" spans="4:8" ht="12.75" customHeight="1" x14ac:dyDescent="0.35">
      <c r="D121" s="1312" t="s">
        <v>6197</v>
      </c>
    </row>
    <row r="122" spans="4:8" ht="12.75" customHeight="1" x14ac:dyDescent="0.35">
      <c r="D122" s="1306" t="s">
        <v>6198</v>
      </c>
      <c r="H122" s="1291" t="s">
        <v>4540</v>
      </c>
    </row>
    <row r="123" spans="4:8" ht="12.75" customHeight="1" x14ac:dyDescent="0.35"/>
    <row r="124" spans="4:8" ht="12.75" customHeight="1" x14ac:dyDescent="0.35"/>
    <row r="125" spans="4:8" ht="12.75" customHeight="1" x14ac:dyDescent="0.35">
      <c r="D125" s="1312" t="s">
        <v>6199</v>
      </c>
    </row>
    <row r="126" spans="4:8" ht="12.75" customHeight="1" x14ac:dyDescent="0.35">
      <c r="D126" s="1312" t="s">
        <v>6182</v>
      </c>
    </row>
    <row r="127" spans="4:8" ht="12.75" customHeight="1" x14ac:dyDescent="0.35"/>
    <row r="128" spans="4:8" ht="12.75" customHeight="1" x14ac:dyDescent="0.35"/>
    <row r="129" spans="4:4" ht="12.75" customHeight="1" x14ac:dyDescent="0.35"/>
    <row r="130" spans="4:4" ht="12.75" customHeight="1" x14ac:dyDescent="0.35">
      <c r="D130" s="1306" t="s">
        <v>6200</v>
      </c>
    </row>
  </sheetData>
  <printOptions gridLines="1"/>
  <pageMargins left="0.75" right="0.75" top="1" bottom="1" header="0.5" footer="0.5"/>
  <pageSetup paperSize="9" orientation="portrait" r:id="rId1"/>
  <headerFooter>
    <oddHeader>&amp;C&amp;A</oddHeader>
    <oddFooter>&amp;CPage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pageSetUpPr autoPageBreaks="0"/>
  </sheetPr>
  <dimension ref="A1:D225"/>
  <sheetViews>
    <sheetView topLeftCell="A159" workbookViewId="0">
      <selection activeCell="D225" sqref="D225"/>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1926</v>
      </c>
      <c r="D3" s="28"/>
    </row>
    <row r="4" spans="1:4" ht="12.75" customHeight="1" x14ac:dyDescent="0.35">
      <c r="A4" s="28"/>
      <c r="B4" s="28"/>
      <c r="C4" s="28"/>
      <c r="D4" s="28"/>
    </row>
    <row r="5" spans="1:4" ht="12.75" customHeight="1" x14ac:dyDescent="0.35">
      <c r="A5" s="28"/>
      <c r="B5" s="28"/>
      <c r="C5" s="28"/>
      <c r="D5" s="28" t="s">
        <v>1927</v>
      </c>
    </row>
    <row r="6" spans="1:4" ht="12.75" customHeight="1" x14ac:dyDescent="0.35">
      <c r="A6" s="28"/>
      <c r="B6" s="28"/>
      <c r="C6" s="28"/>
      <c r="D6" s="28" t="s">
        <v>1928</v>
      </c>
    </row>
    <row r="7" spans="1:4" ht="12.75" customHeight="1" x14ac:dyDescent="0.35">
      <c r="A7" s="28"/>
      <c r="B7" s="28"/>
      <c r="C7" s="28"/>
      <c r="D7" s="105" t="s">
        <v>1929</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D41" s="28"/>
    </row>
    <row r="42" spans="1:4" ht="12.75" customHeight="1" x14ac:dyDescent="0.35">
      <c r="A42" s="28"/>
      <c r="B42" s="28"/>
      <c r="D42" s="28"/>
    </row>
    <row r="43" spans="1:4" ht="12.75" customHeight="1" x14ac:dyDescent="0.35">
      <c r="A43" s="28"/>
      <c r="B43" s="28"/>
      <c r="D43" s="28"/>
    </row>
    <row r="44" spans="1:4" ht="12.75" customHeight="1" x14ac:dyDescent="0.35">
      <c r="A44" s="28"/>
      <c r="B44" s="28"/>
      <c r="C44" s="28" t="s">
        <v>1931</v>
      </c>
      <c r="D44" s="28"/>
    </row>
    <row r="45" spans="1:4" ht="12.75" customHeight="1" x14ac:dyDescent="0.35">
      <c r="A45" s="28"/>
      <c r="B45" s="28"/>
      <c r="C45" s="28"/>
    </row>
    <row r="46" spans="1:4" ht="12.75" customHeight="1" x14ac:dyDescent="0.35">
      <c r="A46" s="28"/>
      <c r="B46" s="28"/>
      <c r="C46" s="28"/>
      <c r="D46" s="1287" t="str">
        <f>" Total investment, "&amp;IF(Figures&gt;1,Figures&amp;" ","")&amp;Currency</f>
        <v xml:space="preserve"> Total investment,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1932</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1934</v>
      </c>
      <c r="D89" s="28"/>
    </row>
    <row r="90" spans="1:4" ht="12.75" customHeight="1" x14ac:dyDescent="0.35">
      <c r="A90" s="28"/>
      <c r="B90" s="28"/>
      <c r="C90" s="28"/>
      <c r="D90" s="28"/>
    </row>
    <row r="91" spans="1:4" ht="12.75" customHeight="1" x14ac:dyDescent="0.35">
      <c r="A91" s="28"/>
      <c r="B91" s="28"/>
      <c r="C91" s="28"/>
      <c r="D91" s="28" t="s">
        <v>1935</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D126" s="28"/>
    </row>
    <row r="127" spans="1:4" ht="12.75" customHeight="1" x14ac:dyDescent="0.35">
      <c r="A127" s="28"/>
      <c r="B127" s="28"/>
      <c r="C127" s="28"/>
      <c r="D127" s="28"/>
    </row>
    <row r="128" spans="1:4" ht="12.75" customHeight="1" x14ac:dyDescent="0.35">
      <c r="A128" s="28"/>
      <c r="B128" s="28"/>
      <c r="C128" s="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1937</v>
      </c>
      <c r="D133" s="28"/>
    </row>
    <row r="134" spans="1:4" ht="12.75" customHeight="1" x14ac:dyDescent="0.35">
      <c r="A134" s="28"/>
      <c r="B134" s="28"/>
      <c r="C134" s="28"/>
      <c r="D134" s="28"/>
    </row>
    <row r="135" spans="1:4" ht="12.75" customHeight="1" x14ac:dyDescent="0.35">
      <c r="A135" s="28"/>
      <c r="B135" s="28"/>
      <c r="C135" s="28"/>
      <c r="D135" s="28" t="s">
        <v>1938</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D164" s="28"/>
    </row>
    <row r="165" spans="1:4" ht="12.75" customHeight="1" x14ac:dyDescent="0.35">
      <c r="A165" s="28"/>
      <c r="B165" s="28"/>
      <c r="C165" s="28"/>
      <c r="D165" s="28"/>
    </row>
    <row r="166" spans="1:4" ht="12.75" customHeight="1" x14ac:dyDescent="0.35">
      <c r="A166" s="28"/>
      <c r="B166" s="28"/>
      <c r="C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D176" s="28"/>
    </row>
    <row r="177" spans="1:4" ht="12.75" customHeight="1" x14ac:dyDescent="0.35">
      <c r="A177" s="28"/>
      <c r="B177" s="28"/>
      <c r="C177" s="28" t="s">
        <v>1940</v>
      </c>
      <c r="D177" s="28"/>
    </row>
    <row r="178" spans="1:4" ht="12.75" customHeight="1" x14ac:dyDescent="0.35">
      <c r="A178" s="28"/>
      <c r="B178" s="28"/>
      <c r="C178" s="28"/>
      <c r="D178" s="28"/>
    </row>
    <row r="179" spans="1:4" ht="12.75" customHeight="1" x14ac:dyDescent="0.35">
      <c r="A179" s="28"/>
      <c r="B179" s="28"/>
      <c r="C179" s="28"/>
      <c r="D179" s="28" t="s">
        <v>1941</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D203" s="28"/>
    </row>
    <row r="204" spans="1:4" ht="12.75" customHeight="1" x14ac:dyDescent="0.35">
      <c r="A204" s="28"/>
      <c r="B204" s="28"/>
      <c r="C204" s="28"/>
      <c r="D204" s="28"/>
    </row>
    <row r="205" spans="1:4" ht="12.75" customHeight="1" x14ac:dyDescent="0.35">
      <c r="A205" s="28"/>
      <c r="B205" s="28"/>
      <c r="C205" s="28"/>
    </row>
    <row r="206" spans="1:4" ht="12.75" customHeight="1" x14ac:dyDescent="0.35">
      <c r="A206" s="28"/>
      <c r="B206" s="28"/>
      <c r="C206" s="28"/>
    </row>
    <row r="207" spans="1:4" ht="12.75" customHeight="1" x14ac:dyDescent="0.35">
      <c r="A207" s="28"/>
      <c r="B207" s="28"/>
      <c r="C207" s="28"/>
    </row>
    <row r="208" spans="1:4"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28" t="s">
        <v>5457</v>
      </c>
    </row>
    <row r="222" spans="3:4" ht="12.75" customHeight="1" x14ac:dyDescent="0.35"/>
    <row r="223" spans="3:4" ht="12.75" customHeight="1" x14ac:dyDescent="0.35">
      <c r="D223" s="28" t="s">
        <v>1943</v>
      </c>
    </row>
    <row r="224" spans="3:4" ht="12.75" customHeight="1" x14ac:dyDescent="0.35">
      <c r="D224" s="28" t="s">
        <v>1944</v>
      </c>
    </row>
    <row r="225" spans="4:4" ht="12.75" customHeight="1" x14ac:dyDescent="0.35">
      <c r="D225" s="28" t="s">
        <v>1945</v>
      </c>
    </row>
  </sheetData>
  <printOptions gridLines="1"/>
  <pageMargins left="0.75" right="0.75" top="1" bottom="1" header="0.5" footer="0.5"/>
  <pageSetup paperSize="9" orientation="portrait" r:id="rId1"/>
  <headerFooter>
    <oddHeader>&amp;C&amp;A</oddHeader>
    <oddFooter>&amp;CPage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pageSetUpPr autoPageBreaks="0"/>
  </sheetPr>
  <dimension ref="A1:D225"/>
  <sheetViews>
    <sheetView topLeftCell="A198"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4544</v>
      </c>
      <c r="D3" s="28"/>
    </row>
    <row r="4" spans="1:4" ht="12.75" customHeight="1" x14ac:dyDescent="0.35">
      <c r="A4" s="28"/>
      <c r="B4" s="28"/>
      <c r="C4" s="28"/>
      <c r="D4" s="28"/>
    </row>
    <row r="5" spans="1:4" ht="12.75" customHeight="1" x14ac:dyDescent="0.35">
      <c r="A5" s="28"/>
      <c r="B5" s="28"/>
      <c r="C5" s="28"/>
      <c r="D5" s="28" t="s">
        <v>4545</v>
      </c>
    </row>
    <row r="6" spans="1:4" ht="12.75" customHeight="1" x14ac:dyDescent="0.35">
      <c r="A6" s="28"/>
      <c r="B6" s="28"/>
      <c r="C6" s="28"/>
      <c r="D6" s="28" t="s">
        <v>4546</v>
      </c>
    </row>
    <row r="7" spans="1:4" ht="12.75" customHeight="1" x14ac:dyDescent="0.35">
      <c r="A7" s="28"/>
      <c r="B7" s="28"/>
      <c r="C7" s="28"/>
      <c r="D7" s="105" t="s">
        <v>4547</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28" t="s">
        <v>4548</v>
      </c>
      <c r="D44" s="28"/>
    </row>
    <row r="45" spans="1:4" ht="12.75" customHeight="1" x14ac:dyDescent="0.35">
      <c r="A45" s="28"/>
      <c r="B45" s="28"/>
      <c r="C45" s="28"/>
      <c r="D45"/>
    </row>
    <row r="46" spans="1:4" ht="12.75" customHeight="1" x14ac:dyDescent="0.35">
      <c r="A46" s="28"/>
      <c r="B46" s="28"/>
      <c r="C46" s="28"/>
      <c r="D46" s="28" t="str">
        <f>" Kokonaisinvestointi, "&amp;IF(Figures&gt;1,Figures&amp;" ","")&amp;Currency</f>
        <v xml:space="preserve"> Kokonaisinvestointi,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4549</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4550</v>
      </c>
      <c r="D89" s="28"/>
    </row>
    <row r="90" spans="1:4" ht="12.75" customHeight="1" x14ac:dyDescent="0.35">
      <c r="A90" s="28"/>
      <c r="B90" s="28"/>
      <c r="C90" s="28"/>
      <c r="D90" s="28"/>
    </row>
    <row r="91" spans="1:4" ht="12.75" customHeight="1" x14ac:dyDescent="0.35">
      <c r="A91" s="28"/>
      <c r="B91" s="28"/>
      <c r="C91"/>
      <c r="D91" s="28" t="s">
        <v>4551</v>
      </c>
    </row>
    <row r="92" spans="1:4" ht="12.75" customHeight="1" x14ac:dyDescent="0.35">
      <c r="A92" s="28"/>
      <c r="B92" s="28"/>
      <c r="C92" s="28"/>
      <c r="D92" s="28"/>
    </row>
    <row r="93" spans="1:4" ht="12.75" customHeight="1" x14ac:dyDescent="0.35">
      <c r="A93" s="28"/>
      <c r="B93" s="28"/>
      <c r="C93" s="28"/>
      <c r="D93"/>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4552</v>
      </c>
      <c r="D133" s="28"/>
    </row>
    <row r="134" spans="1:4" ht="12.75" customHeight="1" x14ac:dyDescent="0.35">
      <c r="A134" s="28"/>
      <c r="B134" s="28"/>
      <c r="C134" s="28"/>
      <c r="D134" s="28"/>
    </row>
    <row r="135" spans="1:4" ht="12.75" customHeight="1" x14ac:dyDescent="0.35">
      <c r="A135" s="28"/>
      <c r="B135" s="28"/>
      <c r="C135" s="28"/>
      <c r="D135" s="28" t="s">
        <v>4553</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4554</v>
      </c>
      <c r="D177" s="28"/>
    </row>
    <row r="178" spans="1:4" ht="12.75" customHeight="1" x14ac:dyDescent="0.35">
      <c r="A178" s="28"/>
      <c r="B178" s="28"/>
      <c r="C178" s="28"/>
      <c r="D178" s="28"/>
    </row>
    <row r="179" spans="1:4" ht="12.75" customHeight="1" x14ac:dyDescent="0.35">
      <c r="A179" s="28"/>
      <c r="B179" s="28"/>
      <c r="C179" s="28"/>
      <c r="D179" s="28" t="s">
        <v>4555</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28" t="s">
        <v>5458</v>
      </c>
      <c r="D221"/>
    </row>
    <row r="222" spans="1:4" ht="12.75" customHeight="1" x14ac:dyDescent="0.35">
      <c r="A222"/>
      <c r="B222"/>
      <c r="C222"/>
      <c r="D222"/>
    </row>
    <row r="223" spans="1:4" ht="12.75" customHeight="1" x14ac:dyDescent="0.35">
      <c r="A223"/>
      <c r="B223"/>
      <c r="C223"/>
      <c r="D223" s="28" t="s">
        <v>4556</v>
      </c>
    </row>
    <row r="224" spans="1:4" ht="12.75" customHeight="1" x14ac:dyDescent="0.35">
      <c r="A224"/>
      <c r="B224"/>
      <c r="C224"/>
      <c r="D224" s="28" t="s">
        <v>4557</v>
      </c>
    </row>
    <row r="225" spans="1:4" ht="12.75" customHeight="1" x14ac:dyDescent="0.35">
      <c r="A225"/>
      <c r="B225"/>
      <c r="C225"/>
      <c r="D225" s="28" t="s">
        <v>4558</v>
      </c>
    </row>
  </sheetData>
  <printOptions gridLines="1"/>
  <pageMargins left="0.75" right="0.75" top="1" bottom="1" header="0.5" footer="0.5"/>
  <pageSetup paperSize="9" orientation="portrait" r:id="rId1"/>
  <headerFooter>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outlinePr showOutlineSymbols="0"/>
    <pageSetUpPr autoPageBreaks="0" fitToPage="1"/>
  </sheetPr>
  <dimension ref="A1:Q141"/>
  <sheetViews>
    <sheetView showGridLines="0" showRowColHeaders="0" showOutlineSymbols="0" zoomScaleNormal="100" workbookViewId="0">
      <pane ySplit="1" topLeftCell="A2" activePane="bottomLeft" state="frozen"/>
      <selection pane="bottomLeft"/>
    </sheetView>
  </sheetViews>
  <sheetFormatPr defaultColWidth="9.1796875" defaultRowHeight="14.5" x14ac:dyDescent="0.35"/>
  <cols>
    <col min="1" max="1" width="6.7265625" style="5" customWidth="1"/>
    <col min="2" max="2" width="0.81640625" style="5" customWidth="1"/>
    <col min="3" max="3" width="2.7265625" style="5" customWidth="1"/>
    <col min="4" max="4" width="35.7265625" style="5" customWidth="1"/>
    <col min="5" max="6" width="13.7265625" style="5" customWidth="1"/>
    <col min="7" max="7" width="1.7265625" style="5" customWidth="1"/>
    <col min="8" max="8" width="11.7265625" style="5" customWidth="1"/>
    <col min="9" max="9" width="10.7265625" style="5" customWidth="1"/>
    <col min="10" max="10" width="12.7265625" style="5" customWidth="1"/>
    <col min="11" max="11" width="2.7265625" style="5" customWidth="1"/>
    <col min="12" max="12" width="0.81640625" style="5" customWidth="1"/>
    <col min="13" max="17" width="0" style="5" hidden="1" customWidth="1"/>
    <col min="18" max="16384" width="9.1796875" style="5"/>
  </cols>
  <sheetData>
    <row r="1" spans="1:17" ht="18" customHeight="1" x14ac:dyDescent="0.35">
      <c r="A1" s="654"/>
      <c r="B1" s="654"/>
      <c r="C1" s="655" t="s">
        <v>1733</v>
      </c>
      <c r="D1" s="655"/>
      <c r="E1" s="654"/>
      <c r="F1" s="654"/>
      <c r="G1" s="654"/>
      <c r="H1" s="654"/>
      <c r="I1" s="655"/>
      <c r="J1" s="656" t="str">
        <f>IF(InvOrAcq=3,O1,N1)</f>
        <v>Investment proposal:</v>
      </c>
      <c r="K1" s="654"/>
      <c r="L1" s="654"/>
      <c r="M1" s="657"/>
      <c r="N1" s="658" t="s">
        <v>1734</v>
      </c>
      <c r="O1" s="659" t="s">
        <v>1735</v>
      </c>
      <c r="P1" s="654"/>
      <c r="Q1" s="654"/>
    </row>
    <row r="2" spans="1:17" ht="5.15" customHeight="1" x14ac:dyDescent="0.35">
      <c r="A2" s="660" t="s">
        <v>1736</v>
      </c>
      <c r="B2" s="282"/>
      <c r="C2" s="282"/>
      <c r="D2" s="282"/>
      <c r="E2" s="282"/>
      <c r="F2" s="282"/>
      <c r="G2" s="282"/>
      <c r="H2" s="282"/>
      <c r="I2" s="282"/>
      <c r="J2" s="282"/>
      <c r="K2" s="282"/>
      <c r="L2" s="282"/>
      <c r="M2" s="661"/>
      <c r="N2" s="662"/>
      <c r="O2" s="663">
        <v>0</v>
      </c>
      <c r="P2" s="662"/>
      <c r="Q2" s="282"/>
    </row>
    <row r="3" spans="1:17" ht="15" customHeight="1" x14ac:dyDescent="0.35">
      <c r="A3" s="660" t="s">
        <v>1736</v>
      </c>
      <c r="B3" s="282"/>
      <c r="C3" s="240" t="s">
        <v>1737</v>
      </c>
      <c r="D3" s="241"/>
      <c r="E3" s="241"/>
      <c r="F3" s="241"/>
      <c r="G3" s="241"/>
      <c r="H3" s="241"/>
      <c r="I3" s="241"/>
      <c r="J3" s="241"/>
      <c r="K3" s="242"/>
      <c r="L3" s="282"/>
      <c r="M3" s="664"/>
      <c r="N3" s="662"/>
      <c r="O3" s="663">
        <v>0</v>
      </c>
      <c r="P3" s="662"/>
      <c r="Q3" s="282"/>
    </row>
    <row r="4" spans="1:17" ht="2.15" customHeight="1" x14ac:dyDescent="0.35">
      <c r="A4" s="654"/>
      <c r="B4" s="282"/>
      <c r="C4" s="665"/>
      <c r="D4" s="666"/>
      <c r="E4" s="666"/>
      <c r="F4" s="667" t="str">
        <f>IF(Currency&lt;&gt;"",Currency,"")</f>
        <v>Euro</v>
      </c>
      <c r="G4" s="666"/>
      <c r="H4" s="666"/>
      <c r="I4" s="666"/>
      <c r="J4" s="666"/>
      <c r="K4" s="668"/>
      <c r="L4" s="282"/>
      <c r="M4" s="664" t="s">
        <v>1738</v>
      </c>
      <c r="N4" s="662"/>
      <c r="O4" s="663">
        <v>0</v>
      </c>
      <c r="P4" s="662"/>
      <c r="Q4" s="282"/>
    </row>
    <row r="5" spans="1:17" ht="18" customHeight="1" x14ac:dyDescent="0.35">
      <c r="A5" s="654"/>
      <c r="B5" s="282"/>
      <c r="C5" s="669"/>
      <c r="D5" s="237" t="s">
        <v>1739</v>
      </c>
      <c r="E5" s="1410" t="str">
        <f>IF(Investment&lt;&gt;0,Investment,"")</f>
        <v>Investment Project 1</v>
      </c>
      <c r="F5" s="1411"/>
      <c r="G5" s="1411"/>
      <c r="H5" s="1411"/>
      <c r="I5" s="1411"/>
      <c r="J5" s="670" t="str">
        <f>IF(Figures&gt;1,TEXT(Figures,"# ##0")&amp;" ","")&amp;Currency</f>
        <v>Euro</v>
      </c>
      <c r="K5" s="312"/>
      <c r="L5" s="282"/>
      <c r="M5" s="664" t="s">
        <v>1740</v>
      </c>
      <c r="N5" s="662"/>
      <c r="O5" s="663"/>
      <c r="P5" s="662"/>
      <c r="Q5" s="282"/>
    </row>
    <row r="6" spans="1:17" ht="14.15" hidden="1" customHeight="1" x14ac:dyDescent="0.35">
      <c r="A6" s="654"/>
      <c r="B6" s="282"/>
      <c r="C6" s="671"/>
      <c r="D6" s="672" t="s">
        <v>1741</v>
      </c>
      <c r="E6" s="673"/>
      <c r="F6" s="674"/>
      <c r="G6" s="674"/>
      <c r="H6" s="674"/>
      <c r="I6" s="674"/>
      <c r="J6" s="308"/>
      <c r="K6" s="309"/>
      <c r="L6" s="282"/>
      <c r="M6" s="664" t="s">
        <v>1742</v>
      </c>
      <c r="N6" s="662"/>
      <c r="O6" s="663">
        <v>0</v>
      </c>
      <c r="P6" s="662"/>
      <c r="Q6" s="282"/>
    </row>
    <row r="7" spans="1:17" ht="5.15" customHeight="1" x14ac:dyDescent="0.35">
      <c r="A7" s="654"/>
      <c r="B7" s="282"/>
      <c r="C7" s="233"/>
      <c r="D7" s="301"/>
      <c r="E7" s="301"/>
      <c r="F7" s="675"/>
      <c r="G7" s="301"/>
      <c r="H7" s="301"/>
      <c r="I7" s="301"/>
      <c r="J7" s="301"/>
      <c r="K7" s="309"/>
      <c r="L7" s="282"/>
      <c r="M7" s="664" t="s">
        <v>1743</v>
      </c>
      <c r="N7" s="662"/>
      <c r="O7" s="663"/>
      <c r="P7" s="662"/>
      <c r="Q7" s="282"/>
    </row>
    <row r="8" spans="1:17" ht="12.75" customHeight="1" x14ac:dyDescent="0.35">
      <c r="A8" s="654"/>
      <c r="B8" s="282"/>
      <c r="C8" s="233"/>
      <c r="D8" s="228" t="s">
        <v>1744</v>
      </c>
      <c r="E8" s="301"/>
      <c r="F8" s="676">
        <f ca="1">-SUM(TotalInvestment)</f>
        <v>2835000</v>
      </c>
      <c r="G8" s="301"/>
      <c r="H8" s="301" t="s">
        <v>1502</v>
      </c>
      <c r="I8" s="677"/>
      <c r="J8" s="676">
        <f ca="1">-SUM(Calculations!$G$1050:$Q$1050)</f>
        <v>2813329.2231061594</v>
      </c>
      <c r="K8" s="309"/>
      <c r="L8" s="282"/>
      <c r="M8" s="664" t="s">
        <v>1745</v>
      </c>
      <c r="N8" s="662"/>
      <c r="O8" s="663"/>
      <c r="P8" s="662"/>
      <c r="Q8" s="282"/>
    </row>
    <row r="9" spans="1:17" ht="12.75" customHeight="1" x14ac:dyDescent="0.35">
      <c r="A9" s="654"/>
      <c r="B9" s="282"/>
      <c r="C9" s="233"/>
      <c r="D9" s="228" t="s">
        <v>1746</v>
      </c>
      <c r="E9" s="301"/>
      <c r="F9" s="678">
        <f>DiscYear</f>
        <v>2.75</v>
      </c>
      <c r="G9" s="301"/>
      <c r="H9" s="1246" t="str">
        <f>IF(VariableRate=1,SpecsTxt!$B$22&amp;" ","")&amp;IF(MYDisc,MidyearTxt,"")</f>
        <v/>
      </c>
      <c r="I9" s="301"/>
      <c r="J9" s="301"/>
      <c r="K9" s="309"/>
      <c r="L9" s="282"/>
      <c r="M9" s="664" t="s">
        <v>1747</v>
      </c>
      <c r="N9" s="662"/>
      <c r="O9" s="663"/>
      <c r="P9" s="662"/>
      <c r="Q9" s="282"/>
    </row>
    <row r="10" spans="1:17" ht="12.75" customHeight="1" x14ac:dyDescent="0.35">
      <c r="A10" s="654"/>
      <c r="B10" s="282"/>
      <c r="C10" s="233"/>
      <c r="D10" s="228" t="s">
        <v>1748</v>
      </c>
      <c r="E10" s="301"/>
      <c r="F10" s="679">
        <f>InvTime+InvTimeMonths/12+InvTime2+InvTimeMonths2/12</f>
        <v>5.333333333333333</v>
      </c>
      <c r="G10" s="301"/>
      <c r="H10" s="301" t="s">
        <v>9</v>
      </c>
      <c r="I10" s="308"/>
      <c r="J10" s="308" t="str">
        <f>InvMonth&amp;"/"&amp;InvYear&amp;" - "&amp;LastMonth&amp;"/"&amp;LastYear</f>
        <v>9/2019 - 12/2024</v>
      </c>
      <c r="K10" s="309"/>
      <c r="L10" s="282"/>
      <c r="M10" s="664" t="s">
        <v>1749</v>
      </c>
      <c r="N10" s="662"/>
      <c r="O10" s="663"/>
      <c r="P10" s="662"/>
      <c r="Q10" s="282"/>
    </row>
    <row r="11" spans="1:17" ht="12.75" customHeight="1" x14ac:dyDescent="0.35">
      <c r="A11" s="654"/>
      <c r="B11" s="282"/>
      <c r="C11" s="233"/>
      <c r="D11" s="228" t="s">
        <v>1750</v>
      </c>
      <c r="E11" s="301"/>
      <c r="F11" s="680" t="str">
        <f ca="1">OFFSET(Calculations!$G$11,0,CalcPoint)</f>
        <v>9/2019</v>
      </c>
      <c r="G11" s="301"/>
      <c r="H11" s="301" t="str">
        <f>"(In the "&amp;IF(CalcPoint=0,"beginning","end")&amp;" of period)"</f>
        <v>(In the beginning of period)</v>
      </c>
      <c r="I11" s="308"/>
      <c r="J11" s="236"/>
      <c r="K11" s="309"/>
      <c r="L11" s="282"/>
      <c r="M11" s="664" t="s">
        <v>1751</v>
      </c>
      <c r="N11" s="662"/>
      <c r="O11" s="663"/>
      <c r="P11" s="662"/>
      <c r="Q11" s="282"/>
    </row>
    <row r="12" spans="1:17" ht="5.15" customHeight="1" x14ac:dyDescent="0.35">
      <c r="A12" s="654"/>
      <c r="B12" s="282"/>
      <c r="C12" s="669"/>
      <c r="D12" s="237"/>
      <c r="E12" s="237"/>
      <c r="F12" s="681" t="str">
        <f>IF(Period=Period2,Period," "&amp;Period&amp;IF(AND(Period&lt;&gt;"",Period2&lt;&gt;"")," / ","")&amp;Period2&amp;"  ")</f>
        <v xml:space="preserve"> 1 / 12  </v>
      </c>
      <c r="G12" s="237"/>
      <c r="H12" s="237"/>
      <c r="I12" s="237"/>
      <c r="J12" s="237"/>
      <c r="K12" s="312"/>
      <c r="L12" s="282"/>
      <c r="M12" s="664" t="s">
        <v>1752</v>
      </c>
      <c r="N12" s="662"/>
      <c r="O12" s="663"/>
      <c r="P12" s="662"/>
      <c r="Q12" s="282"/>
    </row>
    <row r="13" spans="1:17" ht="5.15" customHeight="1" x14ac:dyDescent="0.35">
      <c r="A13" s="654"/>
      <c r="B13" s="282"/>
      <c r="C13" s="233"/>
      <c r="D13" s="228"/>
      <c r="E13" s="228"/>
      <c r="F13" s="308"/>
      <c r="G13" s="228"/>
      <c r="H13" s="228"/>
      <c r="I13" s="228"/>
      <c r="J13" s="228"/>
      <c r="K13" s="309"/>
      <c r="L13" s="282"/>
      <c r="M13" s="664" t="s">
        <v>1753</v>
      </c>
      <c r="N13" s="662"/>
      <c r="O13" s="663"/>
      <c r="P13" s="662"/>
      <c r="Q13" s="282"/>
    </row>
    <row r="14" spans="1:17" ht="12.75" customHeight="1" x14ac:dyDescent="0.35">
      <c r="A14" s="654"/>
      <c r="B14" s="282"/>
      <c r="C14" s="233"/>
      <c r="D14" s="682" t="s">
        <v>1754</v>
      </c>
      <c r="E14" s="683" t="str">
        <f>E51</f>
        <v>Nominal</v>
      </c>
      <c r="F14" s="684" t="str">
        <f>F51</f>
        <v>PV</v>
      </c>
      <c r="G14" s="228"/>
      <c r="H14" s="682" t="s">
        <v>1755</v>
      </c>
      <c r="I14" s="228"/>
      <c r="J14" s="228"/>
      <c r="K14" s="309"/>
      <c r="L14" s="282"/>
      <c r="M14" s="664" t="s">
        <v>1756</v>
      </c>
      <c r="N14" s="662"/>
      <c r="O14" s="663"/>
      <c r="P14" s="662"/>
      <c r="Q14" s="282"/>
    </row>
    <row r="15" spans="1:17" ht="12.75" customHeight="1" x14ac:dyDescent="0.35">
      <c r="A15" s="654"/>
      <c r="B15" s="282"/>
      <c r="C15" s="685" t="s">
        <v>1757</v>
      </c>
      <c r="D15" s="228" t="s">
        <v>1550</v>
      </c>
      <c r="E15" s="228"/>
      <c r="F15" s="676">
        <f ca="1">SUM(DiscOperCashFlow)</f>
        <v>11340145.556549197</v>
      </c>
      <c r="G15" s="228"/>
      <c r="H15" s="1408"/>
      <c r="I15" s="1408"/>
      <c r="J15" s="1408"/>
      <c r="K15" s="309"/>
      <c r="L15" s="282"/>
      <c r="M15" s="664" t="s">
        <v>1758</v>
      </c>
      <c r="N15" s="662"/>
      <c r="O15" s="663"/>
      <c r="P15" s="662"/>
      <c r="Q15" s="282"/>
    </row>
    <row r="16" spans="1:17" ht="12.75" customHeight="1" x14ac:dyDescent="0.35">
      <c r="A16" s="654"/>
      <c r="B16" s="282"/>
      <c r="C16" s="685" t="s">
        <v>42</v>
      </c>
      <c r="D16" s="237" t="s">
        <v>1759</v>
      </c>
      <c r="E16" s="237"/>
      <c r="F16" s="686">
        <f ca="1">IF(UsePerpetuity=1,PerpetuityPV,IF(NoResCol&lt;&gt;1,Calculations!$Q$681,0))</f>
        <v>3821869.9219564982</v>
      </c>
      <c r="G16" s="228"/>
      <c r="H16" s="1408"/>
      <c r="I16" s="1408"/>
      <c r="J16" s="1408"/>
      <c r="K16" s="309"/>
      <c r="L16" s="282"/>
      <c r="M16" s="664" t="s">
        <v>1760</v>
      </c>
      <c r="N16" s="662"/>
      <c r="O16" s="663"/>
      <c r="P16" s="662"/>
      <c r="Q16" s="282"/>
    </row>
    <row r="17" spans="1:17" ht="5.15" hidden="1" customHeight="1" x14ac:dyDescent="0.35">
      <c r="A17" s="654"/>
      <c r="B17" s="282"/>
      <c r="C17" s="687"/>
      <c r="D17" s="688"/>
      <c r="E17" s="689"/>
      <c r="F17" s="690"/>
      <c r="G17" s="689"/>
      <c r="H17" s="689"/>
      <c r="I17" s="689"/>
      <c r="J17" s="689"/>
      <c r="K17" s="691"/>
      <c r="L17" s="282"/>
      <c r="M17" s="664" t="s">
        <v>1761</v>
      </c>
      <c r="N17" s="662"/>
      <c r="O17" s="663">
        <v>0</v>
      </c>
      <c r="P17" s="662">
        <v>1</v>
      </c>
      <c r="Q17" s="282"/>
    </row>
    <row r="18" spans="1:17" ht="12.75" hidden="1" customHeight="1" x14ac:dyDescent="0.35">
      <c r="A18" s="654"/>
      <c r="B18" s="282"/>
      <c r="C18" s="692"/>
      <c r="D18" s="693" t="str">
        <f>IF(PerpetuityLimitation=1,"Perpetuity","Extrapolation")&amp;" is based on"</f>
        <v>Perpetuity is based on</v>
      </c>
      <c r="E18" s="694"/>
      <c r="F18" s="694"/>
      <c r="G18" s="694"/>
      <c r="H18" s="694"/>
      <c r="I18" s="694"/>
      <c r="J18" s="694"/>
      <c r="K18" s="695"/>
      <c r="L18" s="282"/>
      <c r="M18" s="664" t="s">
        <v>1762</v>
      </c>
      <c r="N18" s="662"/>
      <c r="O18" s="663">
        <v>0</v>
      </c>
      <c r="P18" s="662">
        <v>1</v>
      </c>
      <c r="Q18" s="282"/>
    </row>
    <row r="19" spans="1:17" ht="2.15" hidden="1" customHeight="1" x14ac:dyDescent="0.35">
      <c r="A19" s="654"/>
      <c r="B19" s="282"/>
      <c r="C19" s="692"/>
      <c r="D19" s="696"/>
      <c r="E19" s="694"/>
      <c r="F19" s="694"/>
      <c r="G19" s="694"/>
      <c r="H19" s="694"/>
      <c r="I19" s="694"/>
      <c r="J19" s="694"/>
      <c r="K19" s="695"/>
      <c r="L19" s="282"/>
      <c r="M19" s="664" t="s">
        <v>1763</v>
      </c>
      <c r="N19" s="662"/>
      <c r="O19" s="663">
        <v>0</v>
      </c>
      <c r="P19" s="662">
        <v>1</v>
      </c>
      <c r="Q19" s="282"/>
    </row>
    <row r="20" spans="1:17" ht="16" hidden="1" customHeight="1" x14ac:dyDescent="0.35">
      <c r="A20" s="654"/>
      <c r="B20" s="282"/>
      <c r="C20" s="692"/>
      <c r="D20" s="696" t="s">
        <v>1764</v>
      </c>
      <c r="E20" s="694"/>
      <c r="F20" s="697">
        <f ca="1">SUMIF(Calculations!$G$6:$Q$6,"*"&amp;PerpetuityYear,NetCashFlow)</f>
        <v>9131366.8081373833</v>
      </c>
      <c r="G20" s="694"/>
      <c r="H20" s="698" t="s">
        <v>1765</v>
      </c>
      <c r="I20" s="694"/>
      <c r="J20" s="699"/>
      <c r="K20" s="695"/>
      <c r="L20" s="282"/>
      <c r="M20" s="664" t="s">
        <v>1766</v>
      </c>
      <c r="N20" s="662"/>
      <c r="O20" s="663">
        <v>0</v>
      </c>
      <c r="P20" s="662">
        <v>1</v>
      </c>
      <c r="Q20" s="282"/>
    </row>
    <row r="21" spans="1:17" ht="2.15" hidden="1" customHeight="1" x14ac:dyDescent="0.35">
      <c r="A21" s="654"/>
      <c r="B21" s="282"/>
      <c r="C21" s="692"/>
      <c r="D21" s="696"/>
      <c r="E21" s="694"/>
      <c r="F21" s="694"/>
      <c r="G21" s="694"/>
      <c r="H21" s="694"/>
      <c r="I21" s="694"/>
      <c r="J21" s="694"/>
      <c r="K21" s="695"/>
      <c r="L21" s="282"/>
      <c r="M21" s="664" t="s">
        <v>1767</v>
      </c>
      <c r="N21" s="662"/>
      <c r="O21" s="663">
        <v>0</v>
      </c>
      <c r="P21" s="662">
        <v>1</v>
      </c>
      <c r="Q21" s="282"/>
    </row>
    <row r="22" spans="1:17" ht="16" hidden="1" customHeight="1" x14ac:dyDescent="0.35">
      <c r="A22" s="654"/>
      <c r="B22" s="282"/>
      <c r="C22" s="692"/>
      <c r="D22" s="696" t="str">
        <f>"      Enter annual value "&amp;IF(TRIM($J$5)&lt;&gt;"","("&amp;$J$5&amp;")","")</f>
        <v xml:space="preserve">      Enter annual value (Euro)</v>
      </c>
      <c r="E22" s="700"/>
      <c r="F22" s="701"/>
      <c r="G22" s="694"/>
      <c r="H22" s="694" t="str">
        <f ca="1">"Base value "&amp;Calculations!$Q$632&amp;""</f>
        <v>Base value (12/2024)</v>
      </c>
      <c r="I22" s="694"/>
      <c r="J22" s="703">
        <f ca="1">IF(PerpetuityEnter=2,PerpetuityBasisEntered,IF(NOT(ISERROR($F$20)),$F$20,0))</f>
        <v>9131366.8081373833</v>
      </c>
      <c r="K22" s="695"/>
      <c r="L22" s="282"/>
      <c r="M22" s="664" t="s">
        <v>1768</v>
      </c>
      <c r="N22" s="662"/>
      <c r="O22" s="663">
        <v>0</v>
      </c>
      <c r="P22" s="662">
        <v>1</v>
      </c>
      <c r="Q22" s="282"/>
    </row>
    <row r="23" spans="1:17" ht="2.15" hidden="1" customHeight="1" x14ac:dyDescent="0.35">
      <c r="A23" s="654"/>
      <c r="B23" s="282"/>
      <c r="C23" s="692"/>
      <c r="D23" s="696"/>
      <c r="E23" s="694"/>
      <c r="F23" s="694"/>
      <c r="G23" s="694"/>
      <c r="H23" s="694"/>
      <c r="I23" s="694"/>
      <c r="J23" s="694"/>
      <c r="K23" s="695"/>
      <c r="L23" s="282"/>
      <c r="M23" s="664" t="s">
        <v>1769</v>
      </c>
      <c r="N23" s="662"/>
      <c r="O23" s="663">
        <v>0</v>
      </c>
      <c r="P23" s="662">
        <v>1</v>
      </c>
      <c r="Q23" s="282"/>
    </row>
    <row r="24" spans="1:17" ht="16" hidden="1" customHeight="1" x14ac:dyDescent="0.35">
      <c r="A24" s="654"/>
      <c r="B24" s="282"/>
      <c r="C24" s="692"/>
      <c r="D24" s="693" t="str">
        <f>"Type of "&amp;IF(PerpetuityLimitation=1,"perpetuity","extrapolation")</f>
        <v>Type of perpetuity</v>
      </c>
      <c r="E24" s="694"/>
      <c r="F24" s="694"/>
      <c r="G24" s="694"/>
      <c r="H24" s="694" t="s">
        <v>1770</v>
      </c>
      <c r="I24" s="694"/>
      <c r="J24" s="702">
        <f ca="1">IF(VariableRate=1,OFFSET(Calculations!$Q$1061,0,IF(NoResCol=1,-1,0)),DiscYear)-IF(PerpetuityGrowing=2,IF(OR($G$28&lt;IF(VariableRate=1,OFFSET(Calculations!$Q$1061,0,IF(NoResCol=1,-1,0)),DiscYear),PerpetuityLimitation&gt;1),$G$28,0),0)</f>
        <v>2.75</v>
      </c>
      <c r="K24" s="695"/>
      <c r="L24" s="282"/>
      <c r="M24" s="664" t="s">
        <v>1771</v>
      </c>
      <c r="N24" s="663">
        <f ca="1">IF(AND(PerpetuityGrowing=2,OFFSET(Analysis!$F$6,-1,0)&lt;=$G$28),NA(),$J$22*IF(OFFSET(Analysis!$F$6,-1,0)=0,1,1/((OFFSET(Analysis!$F$6,-1,0)-IF(PerpetuityGrowing=2,IF($G$28&lt;OFFSET(Analysis!$F$6,-1,0),$G$28,0),0))/100)))</f>
        <v>415062127.64260834</v>
      </c>
      <c r="O24" s="663">
        <v>0</v>
      </c>
      <c r="P24" s="662">
        <v>1</v>
      </c>
      <c r="Q24" s="282"/>
    </row>
    <row r="25" spans="1:17" ht="2.15" hidden="1" customHeight="1" x14ac:dyDescent="0.35">
      <c r="A25" s="654"/>
      <c r="B25" s="282"/>
      <c r="C25" s="692"/>
      <c r="D25" s="696"/>
      <c r="E25" s="694"/>
      <c r="F25" s="694"/>
      <c r="G25" s="694"/>
      <c r="H25" s="694"/>
      <c r="I25" s="694"/>
      <c r="J25" s="694"/>
      <c r="K25" s="695"/>
      <c r="L25" s="282"/>
      <c r="M25" s="664" t="s">
        <v>1772</v>
      </c>
      <c r="N25" s="663">
        <f ca="1">IF(AND(PerpetuityGrowing=2,OFFSET(Analysis!$G$6,-1,0)&lt;=$G$28),NA(),$J$22*IF(OFFSET(Analysis!$G$6,-1,0)=0,1,1/((OFFSET(Analysis!$G$6,-1,0)-IF(PerpetuityGrowing=2,IF($G$28&lt;OFFSET(Analysis!$G$6,-1,0),$G$28,0),0))/100)))</f>
        <v>368944113.4600963</v>
      </c>
      <c r="O25" s="663">
        <v>0</v>
      </c>
      <c r="P25" s="662">
        <v>1</v>
      </c>
      <c r="Q25" s="282"/>
    </row>
    <row r="26" spans="1:17" ht="16" hidden="1" customHeight="1" x14ac:dyDescent="0.35">
      <c r="A26" s="654"/>
      <c r="B26" s="282"/>
      <c r="C26" s="692"/>
      <c r="D26" s="696" t="s">
        <v>1773</v>
      </c>
      <c r="E26" s="694"/>
      <c r="F26" s="694"/>
      <c r="G26" s="694"/>
      <c r="H26" s="694" t="str">
        <f ca="1">"Value "&amp;Calculations!$Q$632&amp;""</f>
        <v>Value (12/2024)</v>
      </c>
      <c r="I26" s="694"/>
      <c r="J26" s="703">
        <f ca="1">IF(PerpetuityLimitation&gt;1,PerpetuityLimited,IF(AND(PerpetuityGrowing=2,PerpetuityDiscRate&lt;=0),NA(),PerpetuityBaseValue*IF(PerpetuityDiscRate=0,1,1/(PerpetuityDiscRate/100))))</f>
        <v>332049702.11408669</v>
      </c>
      <c r="K26" s="695"/>
      <c r="L26" s="282"/>
      <c r="M26" s="664" t="s">
        <v>1774</v>
      </c>
      <c r="N26" s="663"/>
      <c r="O26" s="663">
        <v>0</v>
      </c>
      <c r="P26" s="662">
        <v>1</v>
      </c>
      <c r="Q26" s="282"/>
    </row>
    <row r="27" spans="1:17" ht="2.15" hidden="1" customHeight="1" x14ac:dyDescent="0.35">
      <c r="A27" s="654"/>
      <c r="B27" s="282"/>
      <c r="C27" s="692"/>
      <c r="D27" s="696"/>
      <c r="E27" s="694"/>
      <c r="F27" s="694"/>
      <c r="G27" s="694"/>
      <c r="H27" s="694"/>
      <c r="I27" s="694"/>
      <c r="J27" s="694"/>
      <c r="K27" s="695"/>
      <c r="L27" s="282"/>
      <c r="M27" s="664" t="s">
        <v>1775</v>
      </c>
      <c r="N27" s="663">
        <f ca="1">IF(AND(PerpetuityGrowing=2,OFFSET(Analysis!$I$6,-1,0)&lt;=$G$28),NA(),$J$22*IF(OFFSET(Analysis!$I$6,-1,0)=0,1,1/((OFFSET(Analysis!$I$6,-1,0)-IF(PerpetuityGrowing=2,IF($G$28&lt;OFFSET(Analysis!$I$6,-1,0),$G$28,0),0))/100)))</f>
        <v>301863365.55826062</v>
      </c>
      <c r="O27" s="663">
        <v>0</v>
      </c>
      <c r="P27" s="662">
        <v>1</v>
      </c>
      <c r="Q27" s="282"/>
    </row>
    <row r="28" spans="1:17" ht="16" hidden="1" customHeight="1" x14ac:dyDescent="0.35">
      <c r="A28" s="654"/>
      <c r="B28" s="282"/>
      <c r="C28" s="692"/>
      <c r="D28" s="696" t="s">
        <v>1776</v>
      </c>
      <c r="E28" s="694"/>
      <c r="F28" s="704"/>
      <c r="G28" s="705">
        <f ca="1">SUM(OFFSET(G28,0,-1))</f>
        <v>0</v>
      </c>
      <c r="H28" s="694" t="str">
        <f ca="1">"Present value ("&amp;$F$11&amp;")"</f>
        <v>Present value (9/2019)</v>
      </c>
      <c r="I28" s="694"/>
      <c r="J28" s="703">
        <f ca="1">PerpetuityValue/(1+IF(VariableRate=1,OFFSET(Calculations!$Q$1062,0,IF(NoResCol=1,-1,0)),DiscMonth))^IF(MYDisc,Calculations!$Q$1066,Calculations!$Q$1064)</f>
        <v>287320534.3000266</v>
      </c>
      <c r="K28" s="695"/>
      <c r="L28" s="282"/>
      <c r="M28" s="664" t="s">
        <v>1777</v>
      </c>
      <c r="N28" s="663">
        <f ca="1">IF(AND(PerpetuityGrowing=2,OFFSET(Analysis!$J$6,-1,0)&lt;=$G$28),NA(),$J$22*IF(OFFSET(Analysis!$J$6,-1,0)=0,1,1/((OFFSET(Analysis!$J$6,-1,0)-IF(PerpetuityGrowing=2,IF($G$28&lt;OFFSET(Analysis!$J$6,-1,0),$G$28,0),0))/100)))</f>
        <v>276708085.09507221</v>
      </c>
      <c r="O28" s="663">
        <v>0</v>
      </c>
      <c r="P28" s="662">
        <v>1</v>
      </c>
      <c r="Q28" s="282"/>
    </row>
    <row r="29" spans="1:17" ht="5.15" hidden="1" customHeight="1" x14ac:dyDescent="0.35">
      <c r="A29" s="654"/>
      <c r="B29" s="282"/>
      <c r="C29" s="692"/>
      <c r="D29" s="696"/>
      <c r="E29" s="694"/>
      <c r="F29" s="694"/>
      <c r="G29" s="694"/>
      <c r="H29" s="694"/>
      <c r="I29" s="694"/>
      <c r="J29" s="694"/>
      <c r="K29" s="695"/>
      <c r="L29" s="282"/>
      <c r="M29" s="664" t="s">
        <v>1778</v>
      </c>
      <c r="N29" s="663"/>
      <c r="O29" s="663">
        <v>0</v>
      </c>
      <c r="P29" s="662">
        <v>1</v>
      </c>
      <c r="Q29" s="282"/>
    </row>
    <row r="30" spans="1:17" ht="5.15" hidden="1" customHeight="1" x14ac:dyDescent="0.35">
      <c r="A30" s="654"/>
      <c r="B30" s="282"/>
      <c r="C30" s="687"/>
      <c r="D30" s="706"/>
      <c r="E30" s="689"/>
      <c r="F30" s="689"/>
      <c r="G30" s="694"/>
      <c r="H30" s="694"/>
      <c r="I30" s="694"/>
      <c r="J30" s="694"/>
      <c r="K30" s="695"/>
      <c r="L30" s="282"/>
      <c r="M30" s="664" t="s">
        <v>1779</v>
      </c>
      <c r="N30" s="663"/>
      <c r="O30" s="663">
        <v>0</v>
      </c>
      <c r="P30" s="662">
        <v>1</v>
      </c>
      <c r="Q30" s="282"/>
    </row>
    <row r="31" spans="1:17" ht="16" hidden="1" customHeight="1" x14ac:dyDescent="0.35">
      <c r="A31" s="654"/>
      <c r="B31" s="282"/>
      <c r="C31" s="692"/>
      <c r="D31" s="696" t="s">
        <v>1780</v>
      </c>
      <c r="E31" s="694"/>
      <c r="F31" s="707">
        <f ca="1">IF($J$32&lt;&gt;0,$J$31/$J$32,"-")</f>
        <v>44.433302266552261</v>
      </c>
      <c r="G31" s="708" t="s">
        <v>1781</v>
      </c>
      <c r="H31" s="694" t="s">
        <v>1782</v>
      </c>
      <c r="I31" s="694"/>
      <c r="J31" s="709">
        <f ca="1">PerpetuityValue</f>
        <v>332049702.11408669</v>
      </c>
      <c r="K31" s="695"/>
      <c r="L31" s="282"/>
      <c r="M31" s="664" t="s">
        <v>1783</v>
      </c>
      <c r="N31" s="663"/>
      <c r="O31" s="663">
        <v>0</v>
      </c>
      <c r="P31" s="662">
        <v>1</v>
      </c>
      <c r="Q31" s="282"/>
    </row>
    <row r="32" spans="1:17" ht="5.15" hidden="1" customHeight="1" x14ac:dyDescent="0.35">
      <c r="A32" s="654"/>
      <c r="B32" s="282"/>
      <c r="C32" s="710"/>
      <c r="D32" s="711"/>
      <c r="E32" s="712"/>
      <c r="F32" s="712"/>
      <c r="G32" s="712"/>
      <c r="H32" s="712"/>
      <c r="I32" s="712"/>
      <c r="J32" s="713">
        <f ca="1">IF(Calculations!$Q$1=FinMonth,OFFSET(Calculations!$Q$489,0,-1),OFFSET(Calculations!$Q$489,0,OFFSET(Calculations!$Q$1022,0,-1)-1))</f>
        <v>7472991.7691497207</v>
      </c>
      <c r="K32" s="714"/>
      <c r="L32" s="282"/>
      <c r="M32" s="664" t="s">
        <v>1784</v>
      </c>
      <c r="N32" s="662"/>
      <c r="O32" s="663">
        <v>0</v>
      </c>
      <c r="P32" s="662">
        <v>1</v>
      </c>
      <c r="Q32" s="282"/>
    </row>
    <row r="33" spans="1:17" ht="12.75" customHeight="1" x14ac:dyDescent="0.35">
      <c r="A33" s="654"/>
      <c r="B33" s="282"/>
      <c r="C33" s="685"/>
      <c r="D33" s="715" t="s">
        <v>1754</v>
      </c>
      <c r="E33" s="715"/>
      <c r="F33" s="716">
        <f ca="1">ResultDCF+ResultPVResidual</f>
        <v>15162015.478505695</v>
      </c>
      <c r="G33" s="228"/>
      <c r="H33" s="1408"/>
      <c r="I33" s="1408"/>
      <c r="J33" s="1408"/>
      <c r="K33" s="309"/>
      <c r="L33" s="282"/>
      <c r="M33" s="664" t="s">
        <v>1785</v>
      </c>
      <c r="N33" s="662"/>
      <c r="O33" s="663"/>
      <c r="P33" s="662"/>
      <c r="Q33" s="282"/>
    </row>
    <row r="34" spans="1:17" ht="5.15" customHeight="1" x14ac:dyDescent="0.35">
      <c r="A34" s="654"/>
      <c r="B34" s="282"/>
      <c r="C34" s="685"/>
      <c r="D34" s="228"/>
      <c r="E34" s="228"/>
      <c r="F34" s="676"/>
      <c r="G34" s="676"/>
      <c r="H34" s="676"/>
      <c r="I34" s="676"/>
      <c r="J34" s="676"/>
      <c r="K34" s="309"/>
      <c r="L34" s="282"/>
      <c r="M34" s="664" t="s">
        <v>1786</v>
      </c>
      <c r="N34" s="662"/>
      <c r="O34" s="663"/>
      <c r="P34" s="662"/>
      <c r="Q34" s="282"/>
    </row>
    <row r="35" spans="1:17" ht="13" customHeight="1" x14ac:dyDescent="0.35">
      <c r="A35" s="654"/>
      <c r="B35" s="282"/>
      <c r="C35" s="685" t="s">
        <v>39</v>
      </c>
      <c r="D35" s="237" t="s">
        <v>5331</v>
      </c>
      <c r="E35" s="717">
        <f>SUM(Calculations!$G$995:$Q$996)</f>
        <v>0</v>
      </c>
      <c r="F35" s="686">
        <f>SUM(Calculations!$G$1004:$Q$1004)</f>
        <v>0</v>
      </c>
      <c r="G35" s="228"/>
      <c r="H35" s="1408"/>
      <c r="I35" s="1408"/>
      <c r="J35" s="1408"/>
      <c r="K35" s="309"/>
      <c r="L35" s="282"/>
      <c r="M35" s="664" t="s">
        <v>1787</v>
      </c>
      <c r="N35" s="662"/>
      <c r="O35" s="663"/>
      <c r="P35" s="662"/>
      <c r="Q35" s="282"/>
    </row>
    <row r="36" spans="1:17" ht="12.75" customHeight="1" x14ac:dyDescent="0.35">
      <c r="A36" s="654"/>
      <c r="B36" s="282"/>
      <c r="C36" s="685"/>
      <c r="D36" s="715" t="s">
        <v>1788</v>
      </c>
      <c r="E36" s="715"/>
      <c r="F36" s="716">
        <f ca="1">ResultEnterpriseValue+ResultContinuousInvestmentsPV</f>
        <v>15162015.478505695</v>
      </c>
      <c r="G36" s="228"/>
      <c r="H36" s="1408"/>
      <c r="I36" s="1408"/>
      <c r="J36" s="1408"/>
      <c r="K36" s="309"/>
      <c r="L36" s="282"/>
      <c r="M36" s="664" t="s">
        <v>1789</v>
      </c>
      <c r="N36" s="662"/>
      <c r="O36" s="663"/>
      <c r="P36" s="662"/>
      <c r="Q36" s="282"/>
    </row>
    <row r="37" spans="1:17" ht="5.15" customHeight="1" x14ac:dyDescent="0.35">
      <c r="A37" s="654"/>
      <c r="B37" s="282"/>
      <c r="C37" s="233"/>
      <c r="D37" s="228"/>
      <c r="E37" s="228"/>
      <c r="F37" s="676"/>
      <c r="G37" s="228"/>
      <c r="H37" s="228"/>
      <c r="I37" s="228"/>
      <c r="J37" s="228"/>
      <c r="K37" s="309"/>
      <c r="L37" s="282"/>
      <c r="M37" s="664" t="s">
        <v>1790</v>
      </c>
      <c r="N37" s="662"/>
      <c r="O37" s="663"/>
      <c r="P37" s="662"/>
      <c r="Q37" s="282"/>
    </row>
    <row r="38" spans="1:17" ht="12.75" hidden="1" customHeight="1" x14ac:dyDescent="0.35">
      <c r="A38" s="654"/>
      <c r="B38" s="282"/>
      <c r="C38" s="685" t="s">
        <v>39</v>
      </c>
      <c r="D38" s="718" t="s">
        <v>1518</v>
      </c>
      <c r="E38" s="237"/>
      <c r="F38" s="686">
        <f>IF(OR(InvOrAcq=2,InvFileType=2),SUM($G$39:$G$47),0)</f>
        <v>0</v>
      </c>
      <c r="G38" s="719"/>
      <c r="H38" s="1408"/>
      <c r="I38" s="1409"/>
      <c r="J38" s="1409"/>
      <c r="K38" s="309"/>
      <c r="L38" s="282"/>
      <c r="M38" s="664" t="s">
        <v>1791</v>
      </c>
      <c r="N38" s="662"/>
      <c r="O38" s="663">
        <v>0</v>
      </c>
      <c r="P38" s="662"/>
      <c r="Q38" s="282"/>
    </row>
    <row r="39" spans="1:17" ht="12.75" hidden="1" customHeight="1" x14ac:dyDescent="0.35">
      <c r="A39" s="654"/>
      <c r="B39" s="282"/>
      <c r="C39" s="685" t="s">
        <v>39</v>
      </c>
      <c r="D39" s="720" t="str">
        <f>Calculations!$C$811</f>
        <v>Interest-bearing long-term debt</v>
      </c>
      <c r="E39" s="721"/>
      <c r="F39" s="722">
        <f ca="1">IF(InvOrAcq=2,-SUM(OFFSET(Calculations!$G$811,0,-1+CalcPoint))-SUM(OFFSET(Calculations!$G$812,0,-1+CalcPoint)),0)</f>
        <v>0</v>
      </c>
      <c r="G39" s="719">
        <f t="shared" ref="G39:G47" ca="1" si="0">SUM(OFFSET(G39,0,-1))</f>
        <v>0</v>
      </c>
      <c r="H39" s="1408"/>
      <c r="I39" s="1409"/>
      <c r="J39" s="1409"/>
      <c r="K39" s="309"/>
      <c r="L39" s="282"/>
      <c r="M39" s="664" t="s">
        <v>1792</v>
      </c>
      <c r="N39" s="662"/>
      <c r="O39" s="663">
        <v>0</v>
      </c>
      <c r="P39" s="662">
        <v>1</v>
      </c>
      <c r="Q39" s="282"/>
    </row>
    <row r="40" spans="1:17" ht="12.75" hidden="1" customHeight="1" x14ac:dyDescent="0.35">
      <c r="A40" s="654"/>
      <c r="B40" s="282"/>
      <c r="C40" s="685" t="s">
        <v>39</v>
      </c>
      <c r="D40" s="723" t="str">
        <f>Calculations!$C$817</f>
        <v>Interest-bearing short-term liabilities</v>
      </c>
      <c r="E40" s="724"/>
      <c r="F40" s="725">
        <f ca="1">IF(InvOrAcq=2,-SUM(OFFSET(Calculations!$G$817,0,-1+CalcPoint)),0)</f>
        <v>0</v>
      </c>
      <c r="G40" s="719">
        <f t="shared" ca="1" si="0"/>
        <v>0</v>
      </c>
      <c r="H40" s="1408"/>
      <c r="I40" s="1409"/>
      <c r="J40" s="1409"/>
      <c r="K40" s="309"/>
      <c r="L40" s="282"/>
      <c r="M40" s="664" t="s">
        <v>1793</v>
      </c>
      <c r="N40" s="662"/>
      <c r="O40" s="663">
        <v>0</v>
      </c>
      <c r="P40" s="662">
        <v>1</v>
      </c>
      <c r="Q40" s="282"/>
    </row>
    <row r="41" spans="1:17" ht="12.75" hidden="1" customHeight="1" x14ac:dyDescent="0.35">
      <c r="A41" s="654"/>
      <c r="B41" s="282"/>
      <c r="C41" s="685" t="s">
        <v>42</v>
      </c>
      <c r="D41" s="726" t="str">
        <f>Calculations!$C$779</f>
        <v>Bank and cash</v>
      </c>
      <c r="E41" s="724"/>
      <c r="F41" s="725">
        <f ca="1">IF(InvOrAcq=2,+SUM(OFFSET(Calculations!$G$779,0,-1+CalcPoint)),0)</f>
        <v>0</v>
      </c>
      <c r="G41" s="719">
        <f t="shared" ca="1" si="0"/>
        <v>0</v>
      </c>
      <c r="H41" s="1408"/>
      <c r="I41" s="1409"/>
      <c r="J41" s="1409"/>
      <c r="K41" s="309"/>
      <c r="L41" s="282"/>
      <c r="M41" s="664" t="s">
        <v>1794</v>
      </c>
      <c r="N41" s="662"/>
      <c r="O41" s="663">
        <v>0</v>
      </c>
      <c r="P41" s="662">
        <v>1</v>
      </c>
      <c r="Q41" s="282"/>
    </row>
    <row r="42" spans="1:17" ht="12.75" hidden="1" customHeight="1" x14ac:dyDescent="0.35">
      <c r="A42" s="654"/>
      <c r="B42" s="282"/>
      <c r="C42" s="685" t="s">
        <v>1757</v>
      </c>
      <c r="D42" s="727"/>
      <c r="E42" s="728"/>
      <c r="F42" s="729"/>
      <c r="G42" s="719">
        <f t="shared" ca="1" si="0"/>
        <v>0</v>
      </c>
      <c r="H42" s="1408"/>
      <c r="I42" s="1409"/>
      <c r="J42" s="1409"/>
      <c r="K42" s="309"/>
      <c r="L42" s="282"/>
      <c r="M42" s="664" t="s">
        <v>1795</v>
      </c>
      <c r="N42" s="662"/>
      <c r="O42" s="663">
        <v>0</v>
      </c>
      <c r="P42" s="662">
        <v>1</v>
      </c>
      <c r="Q42" s="282"/>
    </row>
    <row r="43" spans="1:17" ht="12.75" hidden="1" customHeight="1" x14ac:dyDescent="0.35">
      <c r="A43" s="654"/>
      <c r="B43" s="282"/>
      <c r="C43" s="685" t="s">
        <v>1757</v>
      </c>
      <c r="D43" s="727"/>
      <c r="E43" s="728"/>
      <c r="F43" s="729"/>
      <c r="G43" s="719">
        <f t="shared" ca="1" si="0"/>
        <v>0</v>
      </c>
      <c r="H43" s="1408"/>
      <c r="I43" s="1409"/>
      <c r="J43" s="1409"/>
      <c r="K43" s="309"/>
      <c r="L43" s="282"/>
      <c r="M43" s="664" t="s">
        <v>1796</v>
      </c>
      <c r="N43" s="662"/>
      <c r="O43" s="663">
        <v>0</v>
      </c>
      <c r="P43" s="662">
        <v>1</v>
      </c>
      <c r="Q43" s="282"/>
    </row>
    <row r="44" spans="1:17" ht="12.75" hidden="1" customHeight="1" x14ac:dyDescent="0.35">
      <c r="A44" s="654"/>
      <c r="B44" s="282"/>
      <c r="C44" s="685" t="s">
        <v>1757</v>
      </c>
      <c r="D44" s="727"/>
      <c r="E44" s="728"/>
      <c r="F44" s="729"/>
      <c r="G44" s="719">
        <f t="shared" ca="1" si="0"/>
        <v>0</v>
      </c>
      <c r="H44" s="1408"/>
      <c r="I44" s="1409"/>
      <c r="J44" s="1409"/>
      <c r="K44" s="309"/>
      <c r="L44" s="282"/>
      <c r="M44" s="664" t="s">
        <v>1797</v>
      </c>
      <c r="N44" s="662"/>
      <c r="O44" s="663">
        <v>0</v>
      </c>
      <c r="P44" s="662">
        <v>1</v>
      </c>
      <c r="Q44" s="282"/>
    </row>
    <row r="45" spans="1:17" ht="12.75" hidden="1" customHeight="1" x14ac:dyDescent="0.35">
      <c r="A45" s="654"/>
      <c r="B45" s="282"/>
      <c r="C45" s="685" t="s">
        <v>1757</v>
      </c>
      <c r="D45" s="727"/>
      <c r="E45" s="728"/>
      <c r="F45" s="729"/>
      <c r="G45" s="719">
        <f t="shared" ca="1" si="0"/>
        <v>0</v>
      </c>
      <c r="H45" s="1408"/>
      <c r="I45" s="1409"/>
      <c r="J45" s="1409"/>
      <c r="K45" s="309"/>
      <c r="L45" s="282"/>
      <c r="M45" s="664" t="s">
        <v>1798</v>
      </c>
      <c r="N45" s="662"/>
      <c r="O45" s="663">
        <v>0</v>
      </c>
      <c r="P45" s="662">
        <v>1</v>
      </c>
      <c r="Q45" s="282"/>
    </row>
    <row r="46" spans="1:17" ht="12.75" hidden="1" customHeight="1" x14ac:dyDescent="0.35">
      <c r="A46" s="654"/>
      <c r="B46" s="282"/>
      <c r="C46" s="685" t="s">
        <v>1757</v>
      </c>
      <c r="D46" s="730"/>
      <c r="E46" s="728"/>
      <c r="F46" s="729"/>
      <c r="G46" s="719">
        <f t="shared" ca="1" si="0"/>
        <v>0</v>
      </c>
      <c r="H46" s="1408"/>
      <c r="I46" s="1409"/>
      <c r="J46" s="1409"/>
      <c r="K46" s="309"/>
      <c r="L46" s="282"/>
      <c r="M46" s="664" t="s">
        <v>1799</v>
      </c>
      <c r="N46" s="662"/>
      <c r="O46" s="663">
        <v>0</v>
      </c>
      <c r="P46" s="662">
        <v>1</v>
      </c>
      <c r="Q46" s="282"/>
    </row>
    <row r="47" spans="1:17" ht="12.75" hidden="1" customHeight="1" x14ac:dyDescent="0.35">
      <c r="A47" s="654"/>
      <c r="B47" s="282"/>
      <c r="C47" s="685" t="s">
        <v>1757</v>
      </c>
      <c r="D47" s="731"/>
      <c r="E47" s="732"/>
      <c r="F47" s="733"/>
      <c r="G47" s="719">
        <f t="shared" ca="1" si="0"/>
        <v>0</v>
      </c>
      <c r="H47" s="1408"/>
      <c r="I47" s="1409"/>
      <c r="J47" s="1409"/>
      <c r="K47" s="309"/>
      <c r="L47" s="282"/>
      <c r="M47" s="664" t="s">
        <v>1800</v>
      </c>
      <c r="N47" s="662"/>
      <c r="O47" s="663">
        <v>0</v>
      </c>
      <c r="P47" s="662">
        <v>1</v>
      </c>
      <c r="Q47" s="282"/>
    </row>
    <row r="48" spans="1:17" ht="12.75" hidden="1" customHeight="1" x14ac:dyDescent="0.35">
      <c r="A48" s="654"/>
      <c r="B48" s="282"/>
      <c r="C48" s="685"/>
      <c r="D48" s="715" t="s">
        <v>1801</v>
      </c>
      <c r="E48" s="715"/>
      <c r="F48" s="716">
        <f ca="1">TotalPV+ResultNetDebt</f>
        <v>15162015.478505695</v>
      </c>
      <c r="G48" s="719"/>
      <c r="H48" s="1408"/>
      <c r="I48" s="1409"/>
      <c r="J48" s="1409"/>
      <c r="K48" s="309"/>
      <c r="L48" s="282"/>
      <c r="M48" s="664" t="s">
        <v>1802</v>
      </c>
      <c r="N48" s="662"/>
      <c r="O48" s="663">
        <v>0</v>
      </c>
      <c r="P48" s="662"/>
      <c r="Q48" s="282"/>
    </row>
    <row r="49" spans="1:17" ht="12.75" hidden="1" customHeight="1" x14ac:dyDescent="0.35">
      <c r="A49" s="734"/>
      <c r="B49" s="252"/>
      <c r="C49" s="685"/>
      <c r="D49" s="228" t="s">
        <v>1803</v>
      </c>
      <c r="E49" s="228"/>
      <c r="F49" s="735" t="str">
        <f ca="1">IF(G49&lt;&gt;0,ResultEquityValue/G49,"-")</f>
        <v>-</v>
      </c>
      <c r="G49" s="719">
        <f ca="1">OFFSET(Calculations!$E$489,0,IF(EbitdaIndex&lt;MATCH(0,Calculations!$E$5:$Q$5,0)-1,EbitdaIndex,EbitdaIndex+1))</f>
        <v>0</v>
      </c>
      <c r="H49" s="736" t="s">
        <v>1804</v>
      </c>
      <c r="I49" s="736"/>
      <c r="J49" s="736"/>
      <c r="K49" s="309"/>
      <c r="L49" s="252"/>
      <c r="M49" s="664" t="s">
        <v>1805</v>
      </c>
      <c r="N49" s="662"/>
      <c r="O49" s="663">
        <v>0</v>
      </c>
      <c r="P49" s="662"/>
      <c r="Q49" s="252"/>
    </row>
    <row r="50" spans="1:17" ht="5.15" hidden="1" customHeight="1" x14ac:dyDescent="0.35">
      <c r="A50" s="654"/>
      <c r="B50" s="282"/>
      <c r="C50" s="685"/>
      <c r="D50" s="228"/>
      <c r="E50" s="228"/>
      <c r="F50" s="676"/>
      <c r="G50" s="719"/>
      <c r="H50" s="228"/>
      <c r="I50" s="737"/>
      <c r="J50" s="737"/>
      <c r="K50" s="309"/>
      <c r="L50" s="282"/>
      <c r="M50" s="664" t="s">
        <v>1806</v>
      </c>
      <c r="N50" s="662"/>
      <c r="O50" s="663">
        <v>0</v>
      </c>
      <c r="P50" s="662"/>
      <c r="Q50" s="282"/>
    </row>
    <row r="51" spans="1:17" ht="12.75" customHeight="1" x14ac:dyDescent="0.35">
      <c r="A51" s="654"/>
      <c r="B51" s="282"/>
      <c r="C51" s="738"/>
      <c r="D51" s="739" t="s">
        <v>1807</v>
      </c>
      <c r="E51" s="740" t="s">
        <v>1808</v>
      </c>
      <c r="F51" s="741" t="s">
        <v>1437</v>
      </c>
      <c r="G51" s="228"/>
      <c r="H51" s="1408"/>
      <c r="I51" s="1408"/>
      <c r="J51" s="1408"/>
      <c r="K51" s="309"/>
      <c r="L51" s="282"/>
      <c r="M51" s="664" t="s">
        <v>1809</v>
      </c>
      <c r="N51" s="662"/>
      <c r="O51" s="663"/>
      <c r="P51" s="662"/>
      <c r="Q51" s="282"/>
    </row>
    <row r="52" spans="1:17" ht="12.75" customHeight="1" x14ac:dyDescent="0.35">
      <c r="A52" s="654"/>
      <c r="B52" s="282"/>
      <c r="C52" s="685" t="s">
        <v>39</v>
      </c>
      <c r="D52" s="742" t="s">
        <v>1810</v>
      </c>
      <c r="E52" s="743">
        <f ca="1">SUM(Calculations!$G$993:$Q$993)+SUM(Calculations!$G$1017:$Q$1017)-IF(InvFileType=2,SUM(Calculations!$G$1009:$Q$1009)+SUM(Calculations!$G$1011:$Q$1011),0)</f>
        <v>-2835000</v>
      </c>
      <c r="F52" s="743">
        <f ca="1">SUM(Calculations!$G$1001:$Q$1001)+SUM(Calculations!$G$1018:$Q$1018)-IF(InvFileType=2,SUM(Calculations!$G$1015:$Q$1015),0)</f>
        <v>-2813329.2231061594</v>
      </c>
      <c r="G52" s="228"/>
      <c r="H52" s="1408"/>
      <c r="I52" s="1408"/>
      <c r="J52" s="1408"/>
      <c r="K52" s="309"/>
      <c r="L52" s="282"/>
      <c r="M52" s="664" t="s">
        <v>1811</v>
      </c>
      <c r="N52" s="662"/>
      <c r="O52" s="663"/>
      <c r="P52" s="662"/>
      <c r="Q52" s="282"/>
    </row>
    <row r="53" spans="1:17" ht="12.75" customHeight="1" x14ac:dyDescent="0.35">
      <c r="A53" s="654"/>
      <c r="B53" s="282"/>
      <c r="C53" s="685" t="s">
        <v>42</v>
      </c>
      <c r="D53" s="742" t="s">
        <v>1812</v>
      </c>
      <c r="E53" s="743">
        <f>SUM(Calculations!$G$994:$Q$994)+SUM(Calculations!$G$998:$Q$998)</f>
        <v>0</v>
      </c>
      <c r="F53" s="744">
        <f>SUM(Calculations!$G$1002:$Q$1002)</f>
        <v>0</v>
      </c>
      <c r="G53" s="228"/>
      <c r="H53" s="1408"/>
      <c r="I53" s="1408"/>
      <c r="J53" s="1408"/>
      <c r="K53" s="309"/>
      <c r="L53" s="282"/>
      <c r="M53" s="664" t="s">
        <v>1813</v>
      </c>
      <c r="N53" s="662"/>
      <c r="O53" s="663"/>
      <c r="P53" s="662"/>
      <c r="Q53" s="282"/>
    </row>
    <row r="54" spans="1:17" ht="12.75" hidden="1" customHeight="1" x14ac:dyDescent="0.35">
      <c r="A54" s="654"/>
      <c r="B54" s="282"/>
      <c r="C54" s="685" t="s">
        <v>39</v>
      </c>
      <c r="D54" s="745" t="s">
        <v>1814</v>
      </c>
      <c r="E54" s="746">
        <f>SUM(Calculations!$G$997:$Q$997)+IF(InvFileType=2,SUM(Calculations!$G$1009:$Q$1009),0)</f>
        <v>0</v>
      </c>
      <c r="F54" s="747">
        <f>SUM(Calculations!$G$1003:$Q$1003)+IF(InvFileType=2,SUM(Calculations!$G$1015:$Q$1015),0)</f>
        <v>0</v>
      </c>
      <c r="G54" s="228"/>
      <c r="H54" s="1408"/>
      <c r="I54" s="1408"/>
      <c r="J54" s="1408"/>
      <c r="K54" s="309"/>
      <c r="L54" s="282"/>
      <c r="M54" s="664" t="s">
        <v>1815</v>
      </c>
      <c r="N54" s="662"/>
      <c r="O54" s="663"/>
      <c r="P54" s="662"/>
      <c r="Q54" s="282"/>
    </row>
    <row r="55" spans="1:17" ht="12.75" customHeight="1" x14ac:dyDescent="0.35">
      <c r="A55" s="654"/>
      <c r="B55" s="282"/>
      <c r="C55" s="685"/>
      <c r="D55" s="748" t="s">
        <v>1807</v>
      </c>
      <c r="E55" s="749">
        <f ca="1">E52+E53+E54</f>
        <v>-2835000</v>
      </c>
      <c r="F55" s="749">
        <f ca="1">F52+F53+F54</f>
        <v>-2813329.2231061594</v>
      </c>
      <c r="G55" s="228"/>
      <c r="H55" s="1408"/>
      <c r="I55" s="1408"/>
      <c r="J55" s="1408"/>
      <c r="K55" s="309"/>
      <c r="L55" s="282"/>
      <c r="M55" s="664" t="s">
        <v>1816</v>
      </c>
      <c r="N55" s="662"/>
      <c r="O55" s="663"/>
      <c r="P55" s="662"/>
      <c r="Q55" s="282"/>
    </row>
    <row r="56" spans="1:17" ht="5.15" customHeight="1" x14ac:dyDescent="0.35">
      <c r="A56" s="654"/>
      <c r="B56" s="282"/>
      <c r="C56" s="685"/>
      <c r="D56" s="228"/>
      <c r="E56" s="228"/>
      <c r="F56" s="676"/>
      <c r="G56" s="228"/>
      <c r="H56" s="228"/>
      <c r="I56" s="228"/>
      <c r="J56" s="228"/>
      <c r="K56" s="309"/>
      <c r="L56" s="282"/>
      <c r="M56" s="664" t="s">
        <v>1817</v>
      </c>
      <c r="N56" s="662"/>
      <c r="O56" s="663"/>
      <c r="P56" s="662"/>
      <c r="Q56" s="282"/>
    </row>
    <row r="57" spans="1:17" ht="14.15" customHeight="1" x14ac:dyDescent="0.35">
      <c r="A57" s="750" t="s">
        <v>1818</v>
      </c>
      <c r="B57" s="282"/>
      <c r="C57" s="685"/>
      <c r="D57" s="751" t="s">
        <v>1819</v>
      </c>
      <c r="E57" s="751"/>
      <c r="F57" s="752">
        <f ca="1">IF(OR(InvOrAcq=2,InvFileType=2),ResultEquityValue,TotalPV)+ResultInvestmentProposalPV</f>
        <v>12348686.255399536</v>
      </c>
      <c r="G57" s="753"/>
      <c r="H57" s="301" t="str">
        <f ca="1">IF(ROUND(F57,3)=0,"",IF(F57&gt;=0,"&gt;= 0","&lt; 0"))</f>
        <v>&gt;= 0</v>
      </c>
      <c r="I57" s="754" t="str">
        <f ca="1">IF(J57&lt;&gt;"","-&gt;","")</f>
        <v>-&gt;</v>
      </c>
      <c r="J57" s="228" t="str">
        <f ca="1">IF(AND(ShowConclusions,$F$8&lt;&gt;0),IF(F57&gt;-0.00001,$A$57,$A$58),"")</f>
        <v xml:space="preserve"> profitable</v>
      </c>
      <c r="K57" s="309"/>
      <c r="L57" s="282"/>
      <c r="M57" s="664" t="s">
        <v>1820</v>
      </c>
      <c r="N57" s="662"/>
      <c r="O57" s="663"/>
      <c r="P57" s="662"/>
      <c r="Q57" s="282"/>
    </row>
    <row r="58" spans="1:17" ht="13" customHeight="1" x14ac:dyDescent="0.35">
      <c r="A58" s="750" t="s">
        <v>1821</v>
      </c>
      <c r="B58" s="282"/>
      <c r="C58" s="685"/>
      <c r="D58" s="228" t="s">
        <v>1822</v>
      </c>
      <c r="E58" s="228"/>
      <c r="F58" s="676">
        <f ca="1">IF(NOT(ISERROR(G58)),G58,"-")</f>
        <v>207477.61656316006</v>
      </c>
      <c r="G58" s="719">
        <f ca="1">ResultNPV*((DiscMonth*(1+DiscMonth)^(InvTime*12+InvTimeMonths+InvTime2*12+InvTimeMonths2))/((1+DiscMonth)^(InvTime*12+InvTimeMonths+InvTime2*12+InvTimeMonths2)-1))</f>
        <v>207477.61656316006</v>
      </c>
      <c r="H58" s="1408"/>
      <c r="I58" s="1409"/>
      <c r="J58" s="1409"/>
      <c r="K58" s="309"/>
      <c r="L58" s="282"/>
      <c r="M58" s="664" t="s">
        <v>1823</v>
      </c>
      <c r="N58" s="662"/>
      <c r="O58" s="663"/>
      <c r="P58" s="662"/>
      <c r="Q58" s="282"/>
    </row>
    <row r="59" spans="1:17" ht="5.15" customHeight="1" x14ac:dyDescent="0.35">
      <c r="A59" s="654"/>
      <c r="B59" s="282"/>
      <c r="C59" s="685"/>
      <c r="D59" s="228"/>
      <c r="E59" s="228"/>
      <c r="F59" s="676"/>
      <c r="G59" s="719"/>
      <c r="H59" s="228"/>
      <c r="I59" s="737"/>
      <c r="J59" s="737"/>
      <c r="K59" s="309"/>
      <c r="L59" s="282"/>
      <c r="M59" s="664" t="s">
        <v>1824</v>
      </c>
      <c r="N59" s="662"/>
      <c r="O59" s="663"/>
      <c r="P59" s="662"/>
      <c r="Q59" s="282"/>
    </row>
    <row r="60" spans="1:17" ht="13" hidden="1" customHeight="1" x14ac:dyDescent="0.35">
      <c r="A60" s="654"/>
      <c r="B60" s="282"/>
      <c r="C60" s="233"/>
      <c r="D60" s="228" t="s">
        <v>1825</v>
      </c>
      <c r="E60" s="228"/>
      <c r="F60" s="676">
        <f ca="1">IF(NOT(ISERROR(G60)),G60,"-")</f>
        <v>574335.32398874022</v>
      </c>
      <c r="G60" s="719">
        <f ca="1">PMT((1+DiscMonth)^12-1,F10,SUM(DiscTotalInvestment),0,)</f>
        <v>574335.32398874022</v>
      </c>
      <c r="H60" s="228" t="s">
        <v>1826</v>
      </c>
      <c r="I60" s="228"/>
      <c r="J60" s="228"/>
      <c r="K60" s="309"/>
      <c r="L60" s="755"/>
      <c r="M60" s="756" t="s">
        <v>1827</v>
      </c>
      <c r="N60" s="662"/>
      <c r="O60" s="663">
        <v>0</v>
      </c>
      <c r="P60" s="662">
        <v>1</v>
      </c>
      <c r="Q60" s="282"/>
    </row>
    <row r="61" spans="1:17" ht="5.15" hidden="1" customHeight="1" x14ac:dyDescent="0.35">
      <c r="A61" s="654"/>
      <c r="B61" s="282"/>
      <c r="C61" s="233"/>
      <c r="D61" s="228"/>
      <c r="E61" s="228"/>
      <c r="F61" s="676"/>
      <c r="G61" s="719"/>
      <c r="H61" s="228"/>
      <c r="I61" s="228"/>
      <c r="J61" s="228"/>
      <c r="K61" s="309"/>
      <c r="L61" s="755"/>
      <c r="M61" s="756" t="s">
        <v>1828</v>
      </c>
      <c r="N61" s="662"/>
      <c r="O61" s="663">
        <v>0</v>
      </c>
      <c r="P61" s="662">
        <v>1</v>
      </c>
      <c r="Q61" s="282"/>
    </row>
    <row r="62" spans="1:17" ht="12.75" hidden="1" customHeight="1" x14ac:dyDescent="0.35">
      <c r="A62" s="654"/>
      <c r="B62" s="282"/>
      <c r="C62" s="233"/>
      <c r="D62" s="757" t="s">
        <v>1268</v>
      </c>
      <c r="E62" s="758"/>
      <c r="F62" s="759">
        <f ca="1">OFFSET(F133,E133,0)</f>
        <v>43708</v>
      </c>
      <c r="G62" s="719"/>
      <c r="H62" s="1408"/>
      <c r="I62" s="1408"/>
      <c r="J62" s="1408"/>
      <c r="K62" s="309"/>
      <c r="L62" s="755"/>
      <c r="M62" s="756" t="s">
        <v>1829</v>
      </c>
      <c r="N62" s="662"/>
      <c r="O62" s="663">
        <v>0</v>
      </c>
      <c r="P62" s="662">
        <v>1</v>
      </c>
      <c r="Q62" s="282"/>
    </row>
    <row r="63" spans="1:17" ht="12.75" hidden="1" customHeight="1" x14ac:dyDescent="0.35">
      <c r="A63" s="654"/>
      <c r="B63" s="282"/>
      <c r="C63" s="738"/>
      <c r="D63" s="233" t="s">
        <v>1830</v>
      </c>
      <c r="E63" s="228"/>
      <c r="F63" s="760">
        <f ca="1">OFFSET(Calculations!$G$839,0,CalcPoint)</f>
        <v>0</v>
      </c>
      <c r="G63" s="719"/>
      <c r="H63" s="1408"/>
      <c r="I63" s="1408"/>
      <c r="J63" s="1408"/>
      <c r="K63" s="309"/>
      <c r="L63" s="755"/>
      <c r="M63" s="756" t="s">
        <v>1831</v>
      </c>
      <c r="N63" s="662"/>
      <c r="O63" s="663">
        <v>0</v>
      </c>
      <c r="P63" s="662">
        <v>1</v>
      </c>
      <c r="Q63" s="282"/>
    </row>
    <row r="64" spans="1:17" ht="12.75" hidden="1" customHeight="1" x14ac:dyDescent="0.35">
      <c r="A64" s="654"/>
      <c r="B64" s="282"/>
      <c r="C64" s="738"/>
      <c r="D64" s="233" t="s">
        <v>1832</v>
      </c>
      <c r="E64" s="228"/>
      <c r="F64" s="760">
        <f ca="1">OFFSET(Calculations!$G$840,0,CalcPoint)</f>
        <v>17732074.618754689</v>
      </c>
      <c r="G64" s="719"/>
      <c r="H64" s="1408"/>
      <c r="I64" s="1408"/>
      <c r="J64" s="1408"/>
      <c r="K64" s="309"/>
      <c r="L64" s="755"/>
      <c r="M64" s="756" t="s">
        <v>1833</v>
      </c>
      <c r="N64" s="662"/>
      <c r="O64" s="663">
        <v>0</v>
      </c>
      <c r="P64" s="662">
        <v>1</v>
      </c>
      <c r="Q64" s="282"/>
    </row>
    <row r="65" spans="1:17" ht="12.75" hidden="1" customHeight="1" x14ac:dyDescent="0.35">
      <c r="A65" s="654"/>
      <c r="B65" s="282"/>
      <c r="C65" s="233"/>
      <c r="D65" s="757" t="str">
        <f ca="1">IF(ResultControlValue&lt;0,"Impairment loss","Control value")&amp;" (B - A)"</f>
        <v>Control value (B - A)</v>
      </c>
      <c r="E65" s="758"/>
      <c r="F65" s="761">
        <f ca="1">ResultValueInUse-ResultBookValue</f>
        <v>17732074.618754689</v>
      </c>
      <c r="G65" s="719"/>
      <c r="H65" s="1408"/>
      <c r="I65" s="1408"/>
      <c r="J65" s="1408"/>
      <c r="K65" s="309"/>
      <c r="L65" s="755"/>
      <c r="M65" s="756" t="s">
        <v>1834</v>
      </c>
      <c r="N65" s="662"/>
      <c r="O65" s="663">
        <v>0</v>
      </c>
      <c r="P65" s="662">
        <v>1</v>
      </c>
      <c r="Q65" s="282"/>
    </row>
    <row r="66" spans="1:17" ht="5.15" hidden="1" customHeight="1" x14ac:dyDescent="0.35">
      <c r="A66" s="654"/>
      <c r="B66" s="282"/>
      <c r="C66" s="233"/>
      <c r="D66" s="228"/>
      <c r="E66" s="228"/>
      <c r="F66" s="676"/>
      <c r="G66" s="719"/>
      <c r="H66" s="228"/>
      <c r="I66" s="228"/>
      <c r="J66" s="228"/>
      <c r="K66" s="309"/>
      <c r="L66" s="755"/>
      <c r="M66" s="756" t="s">
        <v>1835</v>
      </c>
      <c r="N66" s="662"/>
      <c r="O66" s="663">
        <v>0</v>
      </c>
      <c r="P66" s="662">
        <v>1</v>
      </c>
      <c r="Q66" s="282"/>
    </row>
    <row r="67" spans="1:17" ht="12.75" customHeight="1" x14ac:dyDescent="0.35">
      <c r="A67" s="654"/>
      <c r="B67" s="282"/>
      <c r="C67" s="233"/>
      <c r="D67" s="228" t="s">
        <v>1836</v>
      </c>
      <c r="E67" s="228"/>
      <c r="F67" s="762">
        <f ca="1">IF(DemoVersion=1,NA(),IF(ROUND(MinIRR*100,2)&lt;&gt;ROUND(MaxIRR*100,2),ROUND(MinIRR*100,2)&amp;" % / "&amp;ROUND(MaxIRR*100,2)&amp;" %",IF(NOT(ISERROR(G67)),G67,Specs!$G$75)))</f>
        <v>0.50339226561054384</v>
      </c>
      <c r="G67" s="719">
        <f ca="1">(1+IRR(IrrCashFlow,DiscMonth))^12-1</f>
        <v>0.50339226561054384</v>
      </c>
      <c r="H67" s="301" t="str">
        <f ca="1">IF(VariableRate&lt;&gt;1,IF(ISNUMBER(F67),IF(F67*100+0.00001&gt;=$F$9,"&gt;= ","&lt; ")&amp;ROUND($F$9,2)&amp;" %",""),"")</f>
        <v>&gt;= 2.75 %</v>
      </c>
      <c r="I67" s="754" t="str">
        <f ca="1">IF(J67&lt;&gt;"","-&gt;","")</f>
        <v>-&gt;</v>
      </c>
      <c r="J67" s="228" t="str">
        <f ca="1">IF(AND(ShowConclusions,$F$8&lt;&gt;0),IF(VariableRate&lt;&gt;1,IF(ISNUMBER($F67),IF($F67*100+0.00001&gt;=$F$9,$A$57,$A$58),""),""),"")</f>
        <v xml:space="preserve"> profitable</v>
      </c>
      <c r="K67" s="309"/>
      <c r="L67" s="282"/>
      <c r="M67" s="664" t="s">
        <v>1837</v>
      </c>
      <c r="N67" s="662"/>
      <c r="O67" s="663"/>
      <c r="P67" s="662"/>
      <c r="Q67" s="282"/>
    </row>
    <row r="68" spans="1:17" ht="12.75" hidden="1" customHeight="1" x14ac:dyDescent="0.35">
      <c r="A68" s="654"/>
      <c r="B68" s="282"/>
      <c r="C68" s="233"/>
      <c r="D68" s="228" t="s">
        <v>1838</v>
      </c>
      <c r="E68" s="228"/>
      <c r="F68" s="762">
        <f ca="1">IF(DemoVersion=1,NA(),IF(ROUND(MinIRRbt*100,2)&lt;&gt;ROUND(MaxIRRbt*100,2),ROUND(MinIRRbt*100,2)&amp;" % / "&amp;ROUND(MaxIRRbt*100,2)&amp;" %",IF(NOT(ISERROR(G68)),G68,Specs!$G$178)))</f>
        <v>0.66661631057319637</v>
      </c>
      <c r="G68" s="719">
        <f ca="1">(1+IRR(PreTaxCashFlow,DiscMonth))^12-1</f>
        <v>0.66661631057319637</v>
      </c>
      <c r="H68" s="301"/>
      <c r="I68" s="754"/>
      <c r="J68" s="228"/>
      <c r="K68" s="309"/>
      <c r="L68" s="282"/>
      <c r="M68" s="664" t="s">
        <v>1839</v>
      </c>
      <c r="N68" s="662"/>
      <c r="O68" s="663">
        <v>0</v>
      </c>
      <c r="P68" s="662"/>
      <c r="Q68" s="282"/>
    </row>
    <row r="69" spans="1:17" ht="12.75" customHeight="1" x14ac:dyDescent="0.35">
      <c r="A69" s="654"/>
      <c r="B69" s="282"/>
      <c r="C69" s="233"/>
      <c r="D69" s="228" t="s">
        <v>1840</v>
      </c>
      <c r="E69" s="228"/>
      <c r="F69" s="762">
        <f ca="1">IF(NOT(ISERROR(G69)),G69,"-")</f>
        <v>0.34153595866392839</v>
      </c>
      <c r="G69" s="719">
        <f ca="1">(1+MIRR(IrrCashFlow,DiscMonth,DiscMonth))^12-1</f>
        <v>0.34153595866392839</v>
      </c>
      <c r="H69" s="301" t="str">
        <f ca="1">IF(VariableRate&lt;&gt;1,IF(ISNUMBER(F69),IF(F69*100+0.00001&gt;=$F$9,"&gt;= ","&lt; ")&amp;ROUND($F$9,2)&amp;" %",""),"")</f>
        <v>&gt;= 2.75 %</v>
      </c>
      <c r="I69" s="754" t="str">
        <f ca="1">IF(J69&lt;&gt;"","-&gt;","")</f>
        <v>-&gt;</v>
      </c>
      <c r="J69" s="228" t="str">
        <f ca="1">IF(AND(ShowConclusions,$F$8&lt;&gt;0),IF(VariableRate&lt;&gt;1,IF(ISNUMBER($F69),IF($F69*100+0.00001&gt;=$F$9,$A$57,$A$58),""),""),"")</f>
        <v xml:space="preserve"> profitable</v>
      </c>
      <c r="K69" s="309"/>
      <c r="L69" s="282"/>
      <c r="M69" s="664" t="s">
        <v>1841</v>
      </c>
      <c r="N69" s="662"/>
      <c r="O69" s="663"/>
      <c r="P69" s="662"/>
      <c r="Q69" s="282"/>
    </row>
    <row r="70" spans="1:17" ht="12.75" customHeight="1" x14ac:dyDescent="0.35">
      <c r="A70" s="654"/>
      <c r="B70" s="282"/>
      <c r="C70" s="233"/>
      <c r="D70" s="228" t="s">
        <v>1842</v>
      </c>
      <c r="E70" s="228"/>
      <c r="F70" s="763">
        <f ca="1">IF(NOT(ISERROR(G70)),G70,"-")</f>
        <v>5.3893498684684742</v>
      </c>
      <c r="G70" s="719">
        <f ca="1">IF(ResultInvestmentProposalPV&gt;=0,"-",IF(OR(InvOrAcq=2,InvFileType=2),ResultEquityValue,TotalPV)/-ResultInvestmentProposalPV)</f>
        <v>5.3893498684684742</v>
      </c>
      <c r="H70" s="301" t="str">
        <f ca="1">IF(ISNUMBER(F70),IF(F70+0.00001&gt;=PILimit,"&gt;= "&amp;PILimit,"&lt; "&amp;PILimit),"")</f>
        <v>&gt;= 1</v>
      </c>
      <c r="I70" s="754" t="str">
        <f ca="1">IF(J70&lt;&gt;"","-&gt;","")</f>
        <v>-&gt;</v>
      </c>
      <c r="J70" s="228" t="str">
        <f ca="1">IF(AND(ShowConclusions,$F$8&lt;&gt;0),IF(ISNUMBER($F70),IF($F70+0.00001&gt;=1,$A$57,$A$58),""),"")</f>
        <v xml:space="preserve"> profitable</v>
      </c>
      <c r="K70" s="309"/>
      <c r="L70" s="282"/>
      <c r="M70" s="664" t="s">
        <v>1843</v>
      </c>
      <c r="N70" s="662"/>
      <c r="O70" s="663"/>
      <c r="P70" s="662"/>
      <c r="Q70" s="282"/>
    </row>
    <row r="71" spans="1:17" ht="5.15" customHeight="1" x14ac:dyDescent="0.35">
      <c r="A71" s="654"/>
      <c r="B71" s="282"/>
      <c r="C71" s="233"/>
      <c r="D71" s="228"/>
      <c r="E71" s="228"/>
      <c r="F71" s="308"/>
      <c r="G71" s="764"/>
      <c r="H71" s="228"/>
      <c r="I71" s="228"/>
      <c r="J71" s="228"/>
      <c r="K71" s="309"/>
      <c r="L71" s="282"/>
      <c r="M71" s="664" t="s">
        <v>1844</v>
      </c>
      <c r="N71" s="662"/>
      <c r="O71" s="663"/>
      <c r="P71" s="662"/>
      <c r="Q71" s="282"/>
    </row>
    <row r="72" spans="1:17" ht="13" customHeight="1" x14ac:dyDescent="0.35">
      <c r="A72" s="654"/>
      <c r="B72" s="282"/>
      <c r="C72" s="233"/>
      <c r="D72" s="228" t="s">
        <v>1845</v>
      </c>
      <c r="E72" s="228"/>
      <c r="F72" s="679">
        <f ca="1">IF(OFFSET(Calculations!$Q$682,0,-1)&lt;0,"-",IF(ISERROR(IF(AND(SUM(F74)+0.00001&gt;0,(F74-F73)&lt;&gt;0),($I$130+($J$130-$I$130)*-F73/(F74-F73))/12,"-")),"-",IF(AND(SUM(F74)+0.00001&gt;0,(F74-F73)&lt;&gt;0),($I$130+($J$130-$I$130)*-F73/(F74-F73))/12,"-")))</f>
        <v>2.7706957805444561</v>
      </c>
      <c r="G72" s="764"/>
      <c r="H72" s="228" t="s">
        <v>1846</v>
      </c>
      <c r="I72" s="765"/>
      <c r="J72" s="765"/>
      <c r="K72" s="309"/>
      <c r="L72" s="282"/>
      <c r="M72" s="664" t="s">
        <v>1847</v>
      </c>
      <c r="N72" s="662"/>
      <c r="O72" s="663"/>
      <c r="P72" s="662"/>
      <c r="Q72" s="282"/>
    </row>
    <row r="73" spans="1:17" ht="11.15" hidden="1" customHeight="1" x14ac:dyDescent="0.35">
      <c r="A73" s="654"/>
      <c r="B73" s="282"/>
      <c r="C73" s="233"/>
      <c r="D73" s="228" t="str">
        <f ca="1">"Cumulative discounted free cash flow "&amp;IF(ISERROR($I$131),"",OFFSET(Calculations!$G$11,0,CalcPointPB))&amp;"-&gt;"&amp;IF(ISERROR($D$77),$F$77,$D$77)</f>
        <v>Cumulative discounted free cash flow 9/2019-&gt;12/2021</v>
      </c>
      <c r="E73" s="301"/>
      <c r="F73" s="676">
        <f ca="1">IF(ISERROR($I$131),"-",OFFSET(Calculations!$E$1042,0,$I$131+Calculations!$D$7-COLUMN(ID)-1))</f>
        <v>-1036689.1089818362</v>
      </c>
      <c r="G73" s="753"/>
      <c r="H73" s="301"/>
      <c r="I73" s="765"/>
      <c r="J73" s="765"/>
      <c r="K73" s="309"/>
      <c r="L73" s="282"/>
      <c r="M73" s="664" t="s">
        <v>1848</v>
      </c>
      <c r="N73" s="662"/>
      <c r="O73" s="663">
        <v>0</v>
      </c>
      <c r="P73" s="662">
        <v>1</v>
      </c>
      <c r="Q73" s="282"/>
    </row>
    <row r="74" spans="1:17" ht="11.15" hidden="1" customHeight="1" x14ac:dyDescent="0.35">
      <c r="A74" s="654"/>
      <c r="B74" s="282"/>
      <c r="C74" s="233"/>
      <c r="D74" s="228" t="str">
        <f ca="1">"Cumulative discounted free cash flow "&amp;IF(ISERROR($I$131),"",OFFSET(Calculations!$G$11,0,CalcPointPB))&amp;"-&gt;"&amp;IF(ISERROR($E$77),$F$77,IF($E$77=$D$77,$F$77,$E$77))</f>
        <v>Cumulative discounted free cash flow 9/2019-&gt;12/2022</v>
      </c>
      <c r="E74" s="301"/>
      <c r="F74" s="676">
        <f ca="1">IF(ISERROR($I$131),"-",OFFSET(Calculations!$E$1042,0,$I$131+Calculations!$D$7-COLUMN(ID)))</f>
        <v>1333631.2410902102</v>
      </c>
      <c r="G74" s="753"/>
      <c r="H74" s="737"/>
      <c r="I74" s="301"/>
      <c r="J74" s="301"/>
      <c r="K74" s="309"/>
      <c r="L74" s="282"/>
      <c r="M74" s="664" t="s">
        <v>1849</v>
      </c>
      <c r="N74" s="662"/>
      <c r="O74" s="663">
        <v>0</v>
      </c>
      <c r="P74" s="662">
        <v>1</v>
      </c>
      <c r="Q74" s="282"/>
    </row>
    <row r="75" spans="1:17" ht="12.75" hidden="1" customHeight="1" x14ac:dyDescent="0.35">
      <c r="A75" s="654"/>
      <c r="B75" s="282"/>
      <c r="C75" s="233"/>
      <c r="D75" s="228" t="s">
        <v>1850</v>
      </c>
      <c r="E75" s="301"/>
      <c r="F75" s="676" t="str">
        <f ca="1">OFFSET(Calculations!$G$11,0,CalcPointPB)</f>
        <v>9/2019</v>
      </c>
      <c r="G75" s="753"/>
      <c r="H75" s="737"/>
      <c r="I75" s="301"/>
      <c r="J75" s="301"/>
      <c r="K75" s="309"/>
      <c r="L75" s="282"/>
      <c r="M75" s="664" t="s">
        <v>1851</v>
      </c>
      <c r="N75" s="662"/>
      <c r="O75" s="663">
        <v>0</v>
      </c>
      <c r="P75" s="662">
        <v>1</v>
      </c>
      <c r="Q75" s="282"/>
    </row>
    <row r="76" spans="1:17" ht="12.75" hidden="1" customHeight="1" x14ac:dyDescent="0.35">
      <c r="A76" s="654"/>
      <c r="B76" s="282"/>
      <c r="C76" s="233"/>
      <c r="D76" s="228" t="s">
        <v>1852</v>
      </c>
      <c r="E76" s="301"/>
      <c r="F76" s="679">
        <f ca="1">IF(OFFSET(Calculations!$Q$1224,0,-1)&lt;0,"-",IF(ISERROR(IF(AND(SUM(J141)+0.00001&gt;0,(J141-J140)&lt;&gt;0),($I$138+($J$138-$I$138)*-J140/(J141-J140))/12,"-")),"-",IF(AND(SUM(J141)+0.00001&gt;0,(J141-J140)&lt;&gt;0),($I$138+($J$138-$I$138)*-J140/(J141-J140))/12,"-")))</f>
        <v>2.6795050765088981</v>
      </c>
      <c r="G76" s="753"/>
      <c r="H76" s="228" t="s">
        <v>1853</v>
      </c>
      <c r="I76" s="301"/>
      <c r="J76" s="301"/>
      <c r="K76" s="309"/>
      <c r="L76" s="282"/>
      <c r="M76" s="664" t="s">
        <v>1854</v>
      </c>
      <c r="N76" s="662"/>
      <c r="O76" s="663">
        <v>0</v>
      </c>
      <c r="P76" s="662">
        <v>1</v>
      </c>
      <c r="Q76" s="282"/>
    </row>
    <row r="77" spans="1:17" ht="5.15" customHeight="1" x14ac:dyDescent="0.35">
      <c r="A77" s="654"/>
      <c r="B77" s="282"/>
      <c r="C77" s="233"/>
      <c r="D77" s="766" t="str">
        <f ca="1">OFFSET(Calculations!$E$1041,0,$I$131+Calculations!$D$7-COLUMN(ID)-1)</f>
        <v>12/2021</v>
      </c>
      <c r="E77" s="766" t="str">
        <f ca="1">OFFSET(Calculations!$E$1041,0,$I$131+Calculations!$D$7-COLUMN(ID))</f>
        <v>12/2022</v>
      </c>
      <c r="F77" s="767" t="s">
        <v>1493</v>
      </c>
      <c r="G77" s="753"/>
      <c r="H77" s="737"/>
      <c r="I77" s="301"/>
      <c r="J77" s="301"/>
      <c r="K77" s="309"/>
      <c r="L77" s="282"/>
      <c r="M77" s="664" t="s">
        <v>1855</v>
      </c>
      <c r="N77" s="662"/>
      <c r="O77" s="663"/>
      <c r="P77" s="662"/>
      <c r="Q77" s="282"/>
    </row>
    <row r="78" spans="1:17" ht="12.75" customHeight="1" x14ac:dyDescent="0.35">
      <c r="A78" s="660">
        <f t="array" aca="1" ref="A78" ca="1">SUM((CumMonths&gt;0)*(CumMonths&lt;=ResultRonaMonths)*(Calculations!$G$1:$Q$1=FinMonth)*(Calculations!$G$1019:$Q$1019))</f>
        <v>4.5851240275431548</v>
      </c>
      <c r="B78" s="282"/>
      <c r="C78" s="233"/>
      <c r="D78" s="228" t="s">
        <v>893</v>
      </c>
      <c r="E78" s="228"/>
      <c r="F78" s="768">
        <f ca="1">IF(NOT(ISERROR(G78)),G78,"-")</f>
        <v>0.76418733792385918</v>
      </c>
      <c r="G78" s="766">
        <f ca="1">$A$78/$N$78</f>
        <v>0.76418733792385918</v>
      </c>
      <c r="H78" s="228" t="str">
        <f ca="1">"Average "&amp;IF(NOT(ISERROR($N78)),$N78&amp;" years","-")</f>
        <v>Average 6 years</v>
      </c>
      <c r="I78" s="228"/>
      <c r="J78" s="228"/>
      <c r="K78" s="309"/>
      <c r="L78" s="282"/>
      <c r="M78" s="664" t="s">
        <v>1856</v>
      </c>
      <c r="N78" s="663">
        <f t="array" aca="1" ref="N78" ca="1">SUM((CumMonths&gt;0)*(CumMonths&lt;=ResultRonaMonths)*(Calculations!$G$1:$Q$1=FinMonth)*(Calculations!$G$5:$Q$5&gt;=0))</f>
        <v>6</v>
      </c>
      <c r="O78" s="663"/>
      <c r="P78" s="662"/>
      <c r="Q78" s="282"/>
    </row>
    <row r="79" spans="1:17" ht="12.75" customHeight="1" x14ac:dyDescent="0.35">
      <c r="A79" s="660">
        <f t="array" aca="1" ref="A79" ca="1">SUM((CumMonths&gt;0)*(CumMonths&lt;=ResultEVAMonths)*(Calculations!$G$1:$Q$1=FinMonth)*(Calculations!$G$1020:$Q$1020))</f>
        <v>14662193.429955136</v>
      </c>
      <c r="B79" s="282"/>
      <c r="C79" s="233"/>
      <c r="D79" s="228" t="s">
        <v>895</v>
      </c>
      <c r="E79" s="228"/>
      <c r="F79" s="676">
        <f ca="1">IF(NOT(ISERROR(G79)),G79,"-")</f>
        <v>2443698.9049925227</v>
      </c>
      <c r="G79" s="766">
        <f ca="1">$A$79/$N$79</f>
        <v>2443698.9049925227</v>
      </c>
      <c r="H79" s="228" t="str">
        <f ca="1">"Average "&amp;IF(NOT(ISERROR($N79)),$N79&amp;" years","-")</f>
        <v>Average 6 years</v>
      </c>
      <c r="I79" s="228"/>
      <c r="J79" s="228"/>
      <c r="K79" s="309"/>
      <c r="L79" s="282"/>
      <c r="M79" s="664" t="s">
        <v>1857</v>
      </c>
      <c r="N79" s="663">
        <f t="array" aca="1" ref="N79" ca="1">SUM((CumMonths&gt;0)*(CumMonths&lt;=ResultEVAMonths)*(Calculations!$G$1:$Q$1=FinMonth)*(Calculations!$G$5:$Q$5&gt;=0))</f>
        <v>6</v>
      </c>
      <c r="O79" s="663"/>
      <c r="P79" s="662"/>
      <c r="Q79" s="282"/>
    </row>
    <row r="80" spans="1:17" ht="5.15" customHeight="1" x14ac:dyDescent="0.35">
      <c r="A80" s="654"/>
      <c r="B80" s="282"/>
      <c r="C80" s="233"/>
      <c r="D80" s="282"/>
      <c r="E80" s="282"/>
      <c r="F80" s="282"/>
      <c r="G80" s="301"/>
      <c r="H80" s="737"/>
      <c r="I80" s="301"/>
      <c r="J80" s="301"/>
      <c r="K80" s="309"/>
      <c r="L80" s="282"/>
      <c r="M80" s="664" t="s">
        <v>1858</v>
      </c>
      <c r="N80" s="662"/>
      <c r="O80" s="663"/>
      <c r="P80" s="662"/>
      <c r="Q80" s="282"/>
    </row>
    <row r="81" spans="1:17" ht="13" customHeight="1" x14ac:dyDescent="0.35">
      <c r="A81" s="654"/>
      <c r="B81" s="282"/>
      <c r="C81" s="685"/>
      <c r="D81" s="228" t="s">
        <v>897</v>
      </c>
      <c r="E81" s="228"/>
      <c r="F81" s="676">
        <f ca="1">IF(DcvaCG&lt;&gt;2,Calculations!$Q$518,Calculations!$Q$534)-IF(InvOrAcq&lt;&gt;2,0,-ResultInvestmentProposalPV-IF(AdjustDCVAwNetDebt=1,ResultNetDebt+OFFSET(Calculations!$G$521,0,1),0))+SUM(Calculations!$G$1173:$Q$1173)</f>
        <v>12240577.31097028</v>
      </c>
      <c r="G81" s="719"/>
      <c r="H81" s="1408"/>
      <c r="I81" s="1409"/>
      <c r="J81" s="1409"/>
      <c r="K81" s="309"/>
      <c r="L81" s="282"/>
      <c r="M81" s="261" t="s">
        <v>1859</v>
      </c>
      <c r="N81" s="662"/>
      <c r="O81" s="663"/>
      <c r="P81" s="662"/>
      <c r="Q81" s="282"/>
    </row>
    <row r="82" spans="1:17" ht="5.15" hidden="1" customHeight="1" x14ac:dyDescent="0.35">
      <c r="A82" s="654"/>
      <c r="B82" s="282"/>
      <c r="C82" s="233"/>
      <c r="D82" s="228"/>
      <c r="E82" s="228"/>
      <c r="F82" s="676"/>
      <c r="G82" s="719"/>
      <c r="H82" s="228"/>
      <c r="I82" s="737"/>
      <c r="J82" s="737"/>
      <c r="K82" s="309"/>
      <c r="L82" s="282"/>
      <c r="M82" s="261" t="s">
        <v>1860</v>
      </c>
      <c r="N82" s="662"/>
      <c r="O82" s="663">
        <v>0</v>
      </c>
      <c r="P82" s="662"/>
      <c r="Q82" s="282"/>
    </row>
    <row r="83" spans="1:17" ht="12.75" hidden="1" customHeight="1" x14ac:dyDescent="0.35">
      <c r="A83" s="654"/>
      <c r="B83" s="282"/>
      <c r="C83" s="233"/>
      <c r="D83" s="228" t="s">
        <v>1861</v>
      </c>
      <c r="E83" s="228"/>
      <c r="F83" s="762"/>
      <c r="G83" s="719"/>
      <c r="H83" s="301" t="str">
        <f>IF(ISNUMBER(F83),IF(F83*100+0.00001&gt;=$F$9,"&gt;= ","&lt; ")&amp;ROUND($F$9,2)&amp;" %","")</f>
        <v/>
      </c>
      <c r="I83" s="754" t="str">
        <f>IF(J83&lt;&gt;"","-&gt;","")</f>
        <v/>
      </c>
      <c r="J83" s="228" t="str">
        <f>IF(ShowConclusions,IF(ISNUMBER($F83),IF($F83*100+0.00001&gt;=$F$9,$A$57,$A$58),""),"")</f>
        <v/>
      </c>
      <c r="K83" s="309"/>
      <c r="L83" s="282"/>
      <c r="M83" s="261" t="s">
        <v>1862</v>
      </c>
      <c r="N83" s="662"/>
      <c r="O83" s="663">
        <v>0</v>
      </c>
      <c r="P83" s="662"/>
      <c r="Q83" s="282"/>
    </row>
    <row r="84" spans="1:17" ht="12.75" hidden="1" customHeight="1" x14ac:dyDescent="0.35">
      <c r="A84" s="654"/>
      <c r="B84" s="282"/>
      <c r="C84" s="233"/>
      <c r="D84" s="228" t="s">
        <v>1863</v>
      </c>
      <c r="E84" s="228"/>
      <c r="F84" s="762"/>
      <c r="G84" s="719"/>
      <c r="H84" s="301" t="str">
        <f>IF(ISNUMBER(F84),IF(F84*100+0.00001&gt;=$F$9,"&gt;= ","&lt; ")&amp;ROUND($F$9,2)&amp;" %","")</f>
        <v/>
      </c>
      <c r="I84" s="754" t="str">
        <f>IF(J84&lt;&gt;"","-&gt;","")</f>
        <v/>
      </c>
      <c r="J84" s="228" t="str">
        <f>IF(ShowConclusions,IF(ISNUMBER($F84),IF($F84*100+0.00001&gt;=$F$9,$A$57,$A$58),""),"")</f>
        <v/>
      </c>
      <c r="K84" s="309"/>
      <c r="L84" s="282"/>
      <c r="M84" s="261" t="s">
        <v>1864</v>
      </c>
      <c r="N84" s="662"/>
      <c r="O84" s="663">
        <v>0</v>
      </c>
      <c r="P84" s="662"/>
      <c r="Q84" s="282"/>
    </row>
    <row r="85" spans="1:17" ht="5.15" hidden="1" customHeight="1" x14ac:dyDescent="0.35">
      <c r="A85" s="654"/>
      <c r="B85" s="282"/>
      <c r="C85" s="233"/>
      <c r="D85" s="228"/>
      <c r="E85" s="228"/>
      <c r="F85" s="676"/>
      <c r="G85" s="719"/>
      <c r="H85" s="228"/>
      <c r="I85" s="737"/>
      <c r="J85" s="737"/>
      <c r="K85" s="309"/>
      <c r="L85" s="282"/>
      <c r="M85" s="261" t="s">
        <v>1865</v>
      </c>
      <c r="N85" s="662"/>
      <c r="O85" s="663">
        <v>0</v>
      </c>
      <c r="P85" s="662"/>
      <c r="Q85" s="282"/>
    </row>
    <row r="86" spans="1:17" ht="12.75" hidden="1" customHeight="1" x14ac:dyDescent="0.35">
      <c r="A86" s="654"/>
      <c r="B86" s="282"/>
      <c r="C86" s="233"/>
      <c r="D86" s="228" t="s">
        <v>1866</v>
      </c>
      <c r="E86" s="228"/>
      <c r="F86" s="769">
        <f ca="1">IF(OFFSET(Calculations!$Q$518,0,-1)&lt;0,"-",IF(ISERROR(IF(AND(SUM(F88)+0.00001&gt;0,(F88-F87)&lt;&gt;0),($K$130+($L$130-$K$130)*-F87/(F88-F87))/12,"-")),"-",IF(AND(SUM(F88)+0.00001&gt;0,(F88-F87)&lt;&gt;0),($K$130+($L$130-$K$130)*-F87/(F88-F87))/12,"-")))</f>
        <v>0.25000000000000094</v>
      </c>
      <c r="G86" s="719"/>
      <c r="H86" s="228"/>
      <c r="I86" s="737"/>
      <c r="J86" s="737"/>
      <c r="K86" s="309"/>
      <c r="L86" s="282"/>
      <c r="M86" s="261" t="s">
        <v>1867</v>
      </c>
      <c r="N86" s="662"/>
      <c r="O86" s="663">
        <v>0</v>
      </c>
      <c r="P86" s="662"/>
      <c r="Q86" s="282"/>
    </row>
    <row r="87" spans="1:17" ht="11.15" hidden="1" customHeight="1" x14ac:dyDescent="0.35">
      <c r="A87" s="654"/>
      <c r="B87" s="282"/>
      <c r="C87" s="233"/>
      <c r="D87" s="228" t="str">
        <f ca="1">"Cumulative discounted value added "&amp;IF(ISERROR($I$131),"",OFFSET(Calculations!$G$11,0,CalcPointPB))&amp;"-&gt;"&amp;IF(ISERROR($D$90),$F$90,$D$90)</f>
        <v>Cumulative discounted value added 9/2019-&gt;11/2019</v>
      </c>
      <c r="E87" s="228"/>
      <c r="F87" s="676">
        <f ca="1">IF(ISERROR($K$131),"-",OFFSET(Calculations!$E$1217,0,$K$131+Calculations!$D$7-COLUMN(ID)-1))</f>
        <v>-1.0000000000000001E-9</v>
      </c>
      <c r="G87" s="719"/>
      <c r="H87" s="228"/>
      <c r="I87" s="737"/>
      <c r="J87" s="737"/>
      <c r="K87" s="309"/>
      <c r="L87" s="282"/>
      <c r="M87" s="261" t="s">
        <v>1868</v>
      </c>
      <c r="N87" s="662"/>
      <c r="O87" s="663">
        <v>0</v>
      </c>
      <c r="P87" s="662">
        <v>1</v>
      </c>
      <c r="Q87" s="282"/>
    </row>
    <row r="88" spans="1:17" ht="11.15" hidden="1" customHeight="1" x14ac:dyDescent="0.35">
      <c r="A88" s="654"/>
      <c r="B88" s="282"/>
      <c r="C88" s="233"/>
      <c r="D88" s="228" t="str">
        <f ca="1">"Cumulative discounted value added "&amp;IF(ISERROR($I$131),"",OFFSET(Calculations!$G$11,0,CalcPointPB))&amp;"-&gt;"&amp;IF(ISERROR($E$90),$F$90,IF($E$90=$D$90,$F$90,$E$90))</f>
        <v>Cumulative discounted value added 9/2019-&gt;12/2019</v>
      </c>
      <c r="E88" s="228"/>
      <c r="F88" s="676">
        <f ca="1">IF(ISERROR($K$131),"-",OFFSET(Calculations!$E$1217,0,$K$131+Calculations!$D$7-COLUMN(ID)))</f>
        <v>90894.945637514742</v>
      </c>
      <c r="G88" s="719"/>
      <c r="H88" s="228"/>
      <c r="I88" s="737"/>
      <c r="J88" s="737"/>
      <c r="K88" s="309"/>
      <c r="L88" s="282"/>
      <c r="M88" s="261" t="s">
        <v>1869</v>
      </c>
      <c r="N88" s="662"/>
      <c r="O88" s="663">
        <v>0</v>
      </c>
      <c r="P88" s="662">
        <v>1</v>
      </c>
      <c r="Q88" s="282"/>
    </row>
    <row r="89" spans="1:17" ht="12.75" hidden="1" customHeight="1" x14ac:dyDescent="0.35">
      <c r="A89" s="654"/>
      <c r="B89" s="282"/>
      <c r="C89" s="233"/>
      <c r="D89" s="228" t="s">
        <v>1850</v>
      </c>
      <c r="E89" s="228"/>
      <c r="F89" s="676" t="str">
        <f ca="1">OFFSET(Calculations!$G$11,0,CalcPointPB)</f>
        <v>9/2019</v>
      </c>
      <c r="G89" s="719"/>
      <c r="H89" s="228"/>
      <c r="I89" s="737"/>
      <c r="J89" s="737"/>
      <c r="K89" s="309"/>
      <c r="L89" s="282"/>
      <c r="M89" s="261" t="s">
        <v>1870</v>
      </c>
      <c r="N89" s="662"/>
      <c r="O89" s="663">
        <v>0</v>
      </c>
      <c r="P89" s="662">
        <v>1</v>
      </c>
      <c r="Q89" s="282"/>
    </row>
    <row r="90" spans="1:17" ht="5.15" customHeight="1" x14ac:dyDescent="0.35">
      <c r="A90" s="654"/>
      <c r="B90" s="282"/>
      <c r="C90" s="770"/>
      <c r="D90" s="766" t="str">
        <f ca="1">OFFSET(Calculations!$E$1216,0,$K$131+Calculations!$D$7-COLUMN(ID)-1)</f>
        <v>11/2019</v>
      </c>
      <c r="E90" s="766" t="str">
        <f ca="1">OFFSET(Calculations!$E$1216,0,$K$131+Calculations!$D$7-COLUMN(ID))</f>
        <v>12/2019</v>
      </c>
      <c r="F90" s="719" t="s">
        <v>1493</v>
      </c>
      <c r="G90" s="719"/>
      <c r="H90" s="228"/>
      <c r="I90" s="737"/>
      <c r="J90" s="737"/>
      <c r="K90" s="309"/>
      <c r="L90" s="282"/>
      <c r="M90" s="261" t="s">
        <v>1871</v>
      </c>
      <c r="N90" s="662"/>
      <c r="O90" s="663"/>
      <c r="P90" s="662"/>
      <c r="Q90" s="282"/>
    </row>
    <row r="91" spans="1:17" ht="14.15" hidden="1" customHeight="1" x14ac:dyDescent="0.35">
      <c r="A91" s="654"/>
      <c r="B91" s="282"/>
      <c r="C91" s="671"/>
      <c r="D91" s="672" t="s">
        <v>1872</v>
      </c>
      <c r="E91" s="227"/>
      <c r="F91" s="771"/>
      <c r="G91" s="227"/>
      <c r="H91" s="772"/>
      <c r="I91" s="227"/>
      <c r="J91" s="227"/>
      <c r="K91" s="245"/>
      <c r="L91" s="282"/>
      <c r="M91" s="664" t="s">
        <v>1873</v>
      </c>
      <c r="N91" s="662"/>
      <c r="O91" s="663">
        <v>0</v>
      </c>
      <c r="P91" s="662"/>
      <c r="Q91" s="282"/>
    </row>
    <row r="92" spans="1:17" ht="5.15" hidden="1" customHeight="1" x14ac:dyDescent="0.35">
      <c r="A92" s="654"/>
      <c r="B92" s="282"/>
      <c r="C92" s="233"/>
      <c r="D92" s="228"/>
      <c r="E92" s="228"/>
      <c r="F92" s="676"/>
      <c r="G92" s="228"/>
      <c r="H92" s="767"/>
      <c r="I92" s="228"/>
      <c r="J92" s="228"/>
      <c r="K92" s="309"/>
      <c r="L92" s="282"/>
      <c r="M92" s="664" t="s">
        <v>1874</v>
      </c>
      <c r="N92" s="662"/>
      <c r="O92" s="663">
        <v>0</v>
      </c>
      <c r="P92" s="662"/>
      <c r="Q92" s="282"/>
    </row>
    <row r="93" spans="1:17" ht="12.75" hidden="1" customHeight="1" x14ac:dyDescent="0.35">
      <c r="A93" s="654"/>
      <c r="B93" s="282"/>
      <c r="C93" s="233"/>
      <c r="D93" s="228" t="s">
        <v>1875</v>
      </c>
      <c r="E93" s="228"/>
      <c r="F93" s="678">
        <f>DiscYearEquity</f>
        <v>0</v>
      </c>
      <c r="G93" s="766"/>
      <c r="H93" s="1408"/>
      <c r="I93" s="1409"/>
      <c r="J93" s="1409"/>
      <c r="K93" s="309"/>
      <c r="L93" s="282"/>
      <c r="M93" s="664" t="s">
        <v>1876</v>
      </c>
      <c r="N93" s="662"/>
      <c r="O93" s="663">
        <v>0</v>
      </c>
      <c r="P93" s="662"/>
      <c r="Q93" s="282"/>
    </row>
    <row r="94" spans="1:17" ht="5.15" hidden="1" customHeight="1" x14ac:dyDescent="0.35">
      <c r="A94" s="654"/>
      <c r="B94" s="282"/>
      <c r="C94" s="233"/>
      <c r="D94" s="228"/>
      <c r="E94" s="228"/>
      <c r="F94" s="676"/>
      <c r="G94" s="766"/>
      <c r="H94" s="767"/>
      <c r="I94" s="228"/>
      <c r="J94" s="228"/>
      <c r="K94" s="309"/>
      <c r="L94" s="282"/>
      <c r="M94" s="664" t="s">
        <v>1877</v>
      </c>
      <c r="N94" s="662"/>
      <c r="O94" s="663">
        <v>0</v>
      </c>
      <c r="P94" s="662"/>
      <c r="Q94" s="282"/>
    </row>
    <row r="95" spans="1:17" ht="12.75" hidden="1" customHeight="1" x14ac:dyDescent="0.35">
      <c r="A95" s="654"/>
      <c r="B95" s="282"/>
      <c r="C95" s="233"/>
      <c r="D95" s="228" t="s">
        <v>1878</v>
      </c>
      <c r="E95" s="228"/>
      <c r="F95" s="676">
        <f ca="1">SUM(DiscFinCashFlow)-IF(NoResCol&lt;&gt;1,ResultPVResidualEquity,0)</f>
        <v>9913147.6815003119</v>
      </c>
      <c r="G95" s="766"/>
      <c r="H95" s="1408"/>
      <c r="I95" s="1409"/>
      <c r="J95" s="1409"/>
      <c r="K95" s="309"/>
      <c r="L95" s="282"/>
      <c r="M95" s="664" t="s">
        <v>1879</v>
      </c>
      <c r="N95" s="662"/>
      <c r="O95" s="663">
        <v>0</v>
      </c>
      <c r="P95" s="662"/>
      <c r="Q95" s="282"/>
    </row>
    <row r="96" spans="1:17" ht="12.75" hidden="1" customHeight="1" x14ac:dyDescent="0.35">
      <c r="A96" s="654"/>
      <c r="B96" s="282"/>
      <c r="C96" s="685" t="s">
        <v>42</v>
      </c>
      <c r="D96" s="228" t="s">
        <v>1880</v>
      </c>
      <c r="E96" s="228"/>
      <c r="F96" s="676">
        <f ca="1">IF(UsePerpetuity=1,PerpetuityPVEquity,IF(NoResCol&lt;&gt;1,Calculations!$Q$698,0))</f>
        <v>4416846.7533868337</v>
      </c>
      <c r="G96" s="766"/>
      <c r="H96" s="1408"/>
      <c r="I96" s="1408"/>
      <c r="J96" s="1408"/>
      <c r="K96" s="309"/>
      <c r="L96" s="282"/>
      <c r="M96" s="664" t="s">
        <v>1881</v>
      </c>
      <c r="N96" s="662"/>
      <c r="O96" s="663">
        <v>0</v>
      </c>
      <c r="P96" s="662"/>
      <c r="Q96" s="282"/>
    </row>
    <row r="97" spans="1:17" ht="5.15" hidden="1" customHeight="1" x14ac:dyDescent="0.35">
      <c r="A97" s="654"/>
      <c r="B97" s="282"/>
      <c r="C97" s="687"/>
      <c r="D97" s="688"/>
      <c r="E97" s="689"/>
      <c r="F97" s="690"/>
      <c r="G97" s="689"/>
      <c r="H97" s="689"/>
      <c r="I97" s="689"/>
      <c r="J97" s="689"/>
      <c r="K97" s="691"/>
      <c r="L97" s="282"/>
      <c r="M97" s="664" t="s">
        <v>1882</v>
      </c>
      <c r="N97" s="662"/>
      <c r="O97" s="663">
        <v>0</v>
      </c>
      <c r="P97" s="662">
        <v>1</v>
      </c>
      <c r="Q97" s="282"/>
    </row>
    <row r="98" spans="1:17" ht="12.75" hidden="1" customHeight="1" x14ac:dyDescent="0.35">
      <c r="A98" s="654"/>
      <c r="B98" s="282"/>
      <c r="C98" s="692"/>
      <c r="D98" s="693" t="str">
        <f>IF(PerpetuityLimitationEquity=1,"Perpetuity","Extrapolation")&amp;" is based on"</f>
        <v>Perpetuity is based on</v>
      </c>
      <c r="E98" s="694"/>
      <c r="F98" s="694"/>
      <c r="G98" s="694"/>
      <c r="H98" s="694"/>
      <c r="I98" s="694"/>
      <c r="J98" s="694"/>
      <c r="K98" s="695"/>
      <c r="L98" s="282"/>
      <c r="M98" s="664" t="s">
        <v>1883</v>
      </c>
      <c r="N98" s="662"/>
      <c r="O98" s="663">
        <v>0</v>
      </c>
      <c r="P98" s="662">
        <v>1</v>
      </c>
      <c r="Q98" s="282"/>
    </row>
    <row r="99" spans="1:17" ht="2.15" hidden="1" customHeight="1" x14ac:dyDescent="0.35">
      <c r="A99" s="654"/>
      <c r="B99" s="282"/>
      <c r="C99" s="692"/>
      <c r="D99" s="696"/>
      <c r="E99" s="694"/>
      <c r="F99" s="694"/>
      <c r="G99" s="694"/>
      <c r="H99" s="694"/>
      <c r="I99" s="694"/>
      <c r="J99" s="694"/>
      <c r="K99" s="695"/>
      <c r="L99" s="282"/>
      <c r="M99" s="664" t="s">
        <v>1884</v>
      </c>
      <c r="N99" s="662"/>
      <c r="O99" s="663">
        <v>0</v>
      </c>
      <c r="P99" s="662">
        <v>1</v>
      </c>
      <c r="Q99" s="282"/>
    </row>
    <row r="100" spans="1:17" ht="16" hidden="1" customHeight="1" x14ac:dyDescent="0.35">
      <c r="A100" s="654"/>
      <c r="B100" s="282"/>
      <c r="C100" s="692"/>
      <c r="D100" s="696" t="s">
        <v>1764</v>
      </c>
      <c r="E100" s="694"/>
      <c r="F100" s="697">
        <f ca="1">SUMIF(Calculations!$G$6:$Q$6,"*"&amp;PerpetuityYearEquity,NetCashFlowEquity)</f>
        <v>9131366.8081373833</v>
      </c>
      <c r="G100" s="694"/>
      <c r="H100" s="698" t="s">
        <v>1765</v>
      </c>
      <c r="I100" s="694"/>
      <c r="J100" s="699"/>
      <c r="K100" s="695"/>
      <c r="L100" s="282"/>
      <c r="M100" s="664" t="s">
        <v>1885</v>
      </c>
      <c r="N100" s="662"/>
      <c r="O100" s="663">
        <v>0</v>
      </c>
      <c r="P100" s="662">
        <v>1</v>
      </c>
      <c r="Q100" s="282"/>
    </row>
    <row r="101" spans="1:17" ht="2.15" hidden="1" customHeight="1" x14ac:dyDescent="0.35">
      <c r="A101" s="654"/>
      <c r="B101" s="282"/>
      <c r="C101" s="692"/>
      <c r="D101" s="696"/>
      <c r="E101" s="694"/>
      <c r="F101" s="694"/>
      <c r="G101" s="694"/>
      <c r="H101" s="694"/>
      <c r="I101" s="694"/>
      <c r="J101" s="694"/>
      <c r="K101" s="695"/>
      <c r="L101" s="282"/>
      <c r="M101" s="664" t="s">
        <v>1886</v>
      </c>
      <c r="N101" s="662"/>
      <c r="O101" s="663">
        <v>0</v>
      </c>
      <c r="P101" s="662">
        <v>1</v>
      </c>
      <c r="Q101" s="282"/>
    </row>
    <row r="102" spans="1:17" ht="16" hidden="1" customHeight="1" x14ac:dyDescent="0.35">
      <c r="A102" s="654"/>
      <c r="B102" s="282"/>
      <c r="C102" s="692"/>
      <c r="D102" s="696" t="str">
        <f>"      Enter annual value "&amp;IF(TRIM($J$5)&lt;&gt;"","("&amp;$J$5&amp;")","")</f>
        <v xml:space="preserve">      Enter annual value (Euro)</v>
      </c>
      <c r="E102" s="700"/>
      <c r="F102" s="701"/>
      <c r="G102" s="694"/>
      <c r="H102" s="694" t="str">
        <f ca="1">"Base value "&amp;Calculations!$Q$632&amp;""</f>
        <v>Base value (12/2024)</v>
      </c>
      <c r="I102" s="694"/>
      <c r="J102" s="703">
        <f ca="1">IF(PerpetuityEnterEquity=2,PerpetuityBasisEnteredEquity,IF(NOT(ISERROR($F$100)),$F$100,0))</f>
        <v>9131366.8081373833</v>
      </c>
      <c r="K102" s="695"/>
      <c r="L102" s="282"/>
      <c r="M102" s="664" t="s">
        <v>1887</v>
      </c>
      <c r="N102" s="662"/>
      <c r="O102" s="663">
        <v>0</v>
      </c>
      <c r="P102" s="662">
        <v>1</v>
      </c>
      <c r="Q102" s="282"/>
    </row>
    <row r="103" spans="1:17" ht="2.15" hidden="1" customHeight="1" x14ac:dyDescent="0.35">
      <c r="A103" s="654"/>
      <c r="B103" s="282"/>
      <c r="C103" s="692"/>
      <c r="D103" s="696"/>
      <c r="E103" s="694"/>
      <c r="F103" s="694"/>
      <c r="G103" s="694"/>
      <c r="H103" s="694"/>
      <c r="I103" s="694"/>
      <c r="J103" s="694"/>
      <c r="K103" s="695"/>
      <c r="L103" s="282"/>
      <c r="M103" s="664" t="s">
        <v>1888</v>
      </c>
      <c r="N103" s="662"/>
      <c r="O103" s="663">
        <v>0</v>
      </c>
      <c r="P103" s="662">
        <v>1</v>
      </c>
      <c r="Q103" s="282"/>
    </row>
    <row r="104" spans="1:17" ht="16" hidden="1" customHeight="1" x14ac:dyDescent="0.35">
      <c r="A104" s="654"/>
      <c r="B104" s="282"/>
      <c r="C104" s="692"/>
      <c r="D104" s="693" t="str">
        <f>"Type of "&amp;IF(PerpetuityLimitationEquity=1,"perpetuity","extrapolation")</f>
        <v>Type of perpetuity</v>
      </c>
      <c r="E104" s="694"/>
      <c r="F104" s="694"/>
      <c r="G104" s="694"/>
      <c r="H104" s="694" t="s">
        <v>1770</v>
      </c>
      <c r="I104" s="694"/>
      <c r="J104" s="702">
        <f ca="1">IF(VariableRateEquity=1,OFFSET(Calculations!$T$1205,0,IF(NoResCol=1,-1,0)),DiscYearEquity)-IF(PerpetuityGrowingEquity=2,IF(OR($G$108&lt;IF(VariableRateEquity=1,OFFSET(Calculations!$T$1205,0,IF(NoResCol=1,-1,0)),DiscYearEquity),PerpetuityLimitationEquity&gt;1),$G$108,0),0)</f>
        <v>0</v>
      </c>
      <c r="K104" s="695"/>
      <c r="L104" s="282"/>
      <c r="M104" s="664" t="s">
        <v>1889</v>
      </c>
      <c r="N104" s="662"/>
      <c r="O104" s="663">
        <v>0</v>
      </c>
      <c r="P104" s="662">
        <v>1</v>
      </c>
      <c r="Q104" s="282"/>
    </row>
    <row r="105" spans="1:17" ht="2.15" hidden="1" customHeight="1" x14ac:dyDescent="0.35">
      <c r="A105" s="654"/>
      <c r="B105" s="282"/>
      <c r="C105" s="692"/>
      <c r="D105" s="696"/>
      <c r="E105" s="694"/>
      <c r="F105" s="694"/>
      <c r="G105" s="694"/>
      <c r="H105" s="694"/>
      <c r="I105" s="694"/>
      <c r="J105" s="694"/>
      <c r="K105" s="695"/>
      <c r="L105" s="282"/>
      <c r="M105" s="664" t="s">
        <v>1890</v>
      </c>
      <c r="N105" s="662"/>
      <c r="O105" s="663">
        <v>0</v>
      </c>
      <c r="P105" s="662">
        <v>1</v>
      </c>
      <c r="Q105" s="282"/>
    </row>
    <row r="106" spans="1:17" ht="16" hidden="1" customHeight="1" x14ac:dyDescent="0.35">
      <c r="A106" s="654"/>
      <c r="B106" s="282"/>
      <c r="C106" s="692"/>
      <c r="D106" s="696" t="s">
        <v>1773</v>
      </c>
      <c r="E106" s="694"/>
      <c r="F106" s="694"/>
      <c r="G106" s="694"/>
      <c r="H106" s="694" t="str">
        <f ca="1">"Value "&amp;Calculations!$Q$632&amp;""</f>
        <v>Value (12/2024)</v>
      </c>
      <c r="I106" s="694"/>
      <c r="J106" s="703">
        <f ca="1">IF(PerpetuityLimitationEquity&gt;1,PerpetuityLimitedEquity,IF(AND(PerpetuityGrowingEquity=2,PerpetuityDiscRateEquity&lt;=0),NA(),PerpetuityBaseValueEquity*IF(PerpetuityDiscRateEquity=0,1,1/(PerpetuityDiscRateEquity/100))))</f>
        <v>9131366.8081373833</v>
      </c>
      <c r="K106" s="695"/>
      <c r="L106" s="282"/>
      <c r="M106" s="664" t="s">
        <v>1891</v>
      </c>
      <c r="N106" s="662"/>
      <c r="O106" s="663">
        <v>0</v>
      </c>
      <c r="P106" s="662">
        <v>1</v>
      </c>
      <c r="Q106" s="282"/>
    </row>
    <row r="107" spans="1:17" ht="2.15" hidden="1" customHeight="1" x14ac:dyDescent="0.35">
      <c r="A107" s="654"/>
      <c r="B107" s="282"/>
      <c r="C107" s="692"/>
      <c r="D107" s="696"/>
      <c r="E107" s="694"/>
      <c r="F107" s="694"/>
      <c r="G107" s="694"/>
      <c r="H107" s="694"/>
      <c r="I107" s="694"/>
      <c r="J107" s="694"/>
      <c r="K107" s="695"/>
      <c r="L107" s="282"/>
      <c r="M107" s="664" t="s">
        <v>1892</v>
      </c>
      <c r="N107" s="662"/>
      <c r="O107" s="663">
        <v>0</v>
      </c>
      <c r="P107" s="662">
        <v>1</v>
      </c>
      <c r="Q107" s="282"/>
    </row>
    <row r="108" spans="1:17" ht="16" hidden="1" customHeight="1" x14ac:dyDescent="0.35">
      <c r="A108" s="654"/>
      <c r="B108" s="282"/>
      <c r="C108" s="692"/>
      <c r="D108" s="696" t="s">
        <v>1776</v>
      </c>
      <c r="E108" s="694"/>
      <c r="F108" s="704"/>
      <c r="G108" s="705">
        <f ca="1">SUM(OFFSET(G108,0,-1))</f>
        <v>0</v>
      </c>
      <c r="H108" s="694" t="str">
        <f ca="1">"Present value ("&amp;$F$11&amp;")"</f>
        <v>Present value (9/2019)</v>
      </c>
      <c r="I108" s="694"/>
      <c r="J108" s="703">
        <f ca="1">PerpetuityValueEquity/(1+IF(VariableRateEquity=1,OFFSET(Calculations!$Q$1206,0,IF(NoResCol=1,-1,0)),DiscMonthEquity))^IF(MYDisc,Calculations!$Q$1066,Calculations!$Q$1064)</f>
        <v>9131366.8081373833</v>
      </c>
      <c r="K108" s="695"/>
      <c r="L108" s="282"/>
      <c r="M108" s="664" t="s">
        <v>1893</v>
      </c>
      <c r="N108" s="662"/>
      <c r="O108" s="663">
        <v>0</v>
      </c>
      <c r="P108" s="662">
        <v>1</v>
      </c>
      <c r="Q108" s="282"/>
    </row>
    <row r="109" spans="1:17" ht="5.15" hidden="1" customHeight="1" x14ac:dyDescent="0.35">
      <c r="A109" s="654"/>
      <c r="B109" s="282"/>
      <c r="C109" s="710"/>
      <c r="D109" s="711"/>
      <c r="E109" s="712"/>
      <c r="F109" s="712"/>
      <c r="G109" s="712"/>
      <c r="H109" s="712"/>
      <c r="I109" s="712"/>
      <c r="J109" s="712"/>
      <c r="K109" s="714"/>
      <c r="L109" s="282"/>
      <c r="M109" s="664" t="s">
        <v>1894</v>
      </c>
      <c r="N109" s="662"/>
      <c r="O109" s="663">
        <v>0</v>
      </c>
      <c r="P109" s="662">
        <v>1</v>
      </c>
      <c r="Q109" s="282"/>
    </row>
    <row r="110" spans="1:17" ht="12.75" hidden="1" customHeight="1" x14ac:dyDescent="0.35">
      <c r="A110" s="654"/>
      <c r="B110" s="282"/>
      <c r="C110" s="685" t="s">
        <v>39</v>
      </c>
      <c r="D110" s="236" t="s">
        <v>1895</v>
      </c>
      <c r="E110" s="228"/>
      <c r="F110" s="773">
        <f ca="1">IF(CorrDebtResidual,-(OFFSET(Calculations!$Q$811,0,IF(NoResCol&lt;&gt;1,0,-1))+OFFSET(Calculations!$Q$819,0,IF(NoResCol&lt;&gt;1,0,-1)))/(1+IF(VariableRateEquity=1,OFFSET(Calculations!$Q$1206,0,IF(NoResCol=1,-1,0)),DiscMonthEquity))^Calculations!$Q$1064,0)</f>
        <v>0</v>
      </c>
      <c r="G110" s="228"/>
      <c r="H110" s="228"/>
      <c r="I110" s="228"/>
      <c r="J110" s="228"/>
      <c r="K110" s="646"/>
      <c r="L110" s="282"/>
      <c r="M110" s="664" t="s">
        <v>1896</v>
      </c>
      <c r="N110" s="662"/>
      <c r="O110" s="663">
        <v>0</v>
      </c>
      <c r="P110" s="662"/>
      <c r="Q110" s="282"/>
    </row>
    <row r="111" spans="1:17" ht="14.15" hidden="1" customHeight="1" x14ac:dyDescent="0.35">
      <c r="A111" s="654"/>
      <c r="B111" s="282"/>
      <c r="C111" s="233"/>
      <c r="D111" s="751" t="s">
        <v>1897</v>
      </c>
      <c r="E111" s="751"/>
      <c r="F111" s="752">
        <f ca="1">ResultDCFEquity+ResultPVResidualEquity+ResultDebtCorrection</f>
        <v>14329994.434887145</v>
      </c>
      <c r="G111" s="737"/>
      <c r="H111" s="301" t="str">
        <f ca="1">IF(ROUND(F111,3)=0,"",IF(F111&gt;=0,"&gt;= 0","&lt; 0"))</f>
        <v>&gt;= 0</v>
      </c>
      <c r="I111" s="754" t="str">
        <f ca="1">IF(J111&lt;&gt;"","-&gt;","")</f>
        <v>-&gt;</v>
      </c>
      <c r="J111" s="228" t="str">
        <f ca="1">IF(AND(ShowConclusions,$F$8&lt;&gt;0),IF(F111&gt;-0.00001,$A$57,$A$58),"")</f>
        <v xml:space="preserve"> profitable</v>
      </c>
      <c r="K111" s="309"/>
      <c r="L111" s="282"/>
      <c r="M111" s="664" t="s">
        <v>1898</v>
      </c>
      <c r="N111" s="662"/>
      <c r="O111" s="663">
        <v>0</v>
      </c>
      <c r="P111" s="662"/>
      <c r="Q111" s="282"/>
    </row>
    <row r="112" spans="1:17" ht="12.75" hidden="1" customHeight="1" x14ac:dyDescent="0.35">
      <c r="A112" s="654"/>
      <c r="B112" s="282"/>
      <c r="C112" s="233"/>
      <c r="D112" s="228" t="s">
        <v>1899</v>
      </c>
      <c r="E112" s="301"/>
      <c r="F112" s="676" t="str">
        <f ca="1">IF(NOT(ISERROR(G112)),G112,"-")</f>
        <v>-</v>
      </c>
      <c r="G112" s="737" t="e">
        <f ca="1">ResultNPVEquity*((DiscMonthEquity*(1+DiscMonthEquity)^(InvTime*12+InvTimeMonths+InvTime2*12+InvTimeMonths2))/((1+DiscMonthEquity)^(InvTime*12+InvTimeMonths+InvTime2*12+InvTimeMonths2)-1))</f>
        <v>#DIV/0!</v>
      </c>
      <c r="H112" s="774"/>
      <c r="I112" s="301"/>
      <c r="J112" s="301"/>
      <c r="K112" s="309"/>
      <c r="L112" s="282"/>
      <c r="M112" s="664" t="s">
        <v>1900</v>
      </c>
      <c r="N112" s="662"/>
      <c r="O112" s="663">
        <v>0</v>
      </c>
      <c r="P112" s="662"/>
      <c r="Q112" s="282"/>
    </row>
    <row r="113" spans="1:17" ht="5.15" hidden="1" customHeight="1" x14ac:dyDescent="0.35">
      <c r="A113" s="654"/>
      <c r="B113" s="282"/>
      <c r="C113" s="233"/>
      <c r="D113" s="228"/>
      <c r="E113" s="301"/>
      <c r="F113" s="676"/>
      <c r="G113" s="737"/>
      <c r="H113" s="774"/>
      <c r="I113" s="301"/>
      <c r="J113" s="301"/>
      <c r="K113" s="309"/>
      <c r="L113" s="282"/>
      <c r="M113" s="664" t="s">
        <v>1901</v>
      </c>
      <c r="N113" s="662"/>
      <c r="O113" s="663">
        <v>0</v>
      </c>
      <c r="P113" s="662"/>
      <c r="Q113" s="282"/>
    </row>
    <row r="114" spans="1:17" ht="12.75" hidden="1" customHeight="1" x14ac:dyDescent="0.35">
      <c r="A114" s="654"/>
      <c r="B114" s="282"/>
      <c r="C114" s="233"/>
      <c r="D114" s="228" t="s">
        <v>1902</v>
      </c>
      <c r="E114" s="301"/>
      <c r="F114" s="762">
        <f ca="1">IF(DemoVersion=1,NA(),IF(ROUND(MinIRREquity*100,2)&lt;&gt;ROUND(MaxIRREquity*100,2),ROUND(MinIRREquity*100,2)&amp;" % / "&amp;ROUND(MaxIRREquity*100,2)&amp;" %",IF(NOT(ISERROR(G114)),G114,Specs!$G$126)))</f>
        <v>0.50339226561054384</v>
      </c>
      <c r="G114" s="737">
        <f ca="1">(1+IRR(IrrCashFlowEquity,DiscMonthEquity))^12-1</f>
        <v>0.50339226561054384</v>
      </c>
      <c r="H114" s="301" t="str">
        <f ca="1">IF(VariableRate&lt;&gt;1,IF(ISNUMBER(F114),IF(F114*100+0.00001&gt;=$F$93,"&gt;= ","&lt; ")&amp;ROUND($F$93,2)&amp;" %",""),"")</f>
        <v>&gt;= 0 %</v>
      </c>
      <c r="I114" s="754" t="str">
        <f ca="1">IF(J114&lt;&gt;"","-&gt;","")</f>
        <v>-&gt;</v>
      </c>
      <c r="J114" s="228" t="str">
        <f ca="1">IF(AND(ShowConclusions,$F$8&lt;&gt;0),IF(VariableRate&lt;&gt;1,IF(ISNUMBER($F114),IF($F114*100+0.00001&gt;=$F$93,$A$57,$A$58),""),""),"")</f>
        <v xml:space="preserve"> profitable</v>
      </c>
      <c r="K114" s="309"/>
      <c r="L114" s="282"/>
      <c r="M114" s="664" t="s">
        <v>1903</v>
      </c>
      <c r="N114" s="662"/>
      <c r="O114" s="663">
        <v>0</v>
      </c>
      <c r="P114" s="662"/>
      <c r="Q114" s="282"/>
    </row>
    <row r="115" spans="1:17" ht="12.75" hidden="1" customHeight="1" x14ac:dyDescent="0.35">
      <c r="A115" s="654"/>
      <c r="B115" s="282"/>
      <c r="C115" s="233"/>
      <c r="D115" s="228" t="s">
        <v>1904</v>
      </c>
      <c r="E115" s="301"/>
      <c r="F115" s="762">
        <f ca="1">IF(DemoVersion=1,NA(),IF(ROUND(MinIRREquitybt*100,2)&lt;&gt;ROUND(MaxIRREquitybt*100,2),ROUND(MinIRREquitybt*100,2)&amp;" % / "&amp;ROUND(MaxIRREquitybt*100,2)&amp;" %",IF(NOT(ISERROR(G115)),G115,Specs!$G$229)))</f>
        <v>0.66661631057319637</v>
      </c>
      <c r="G115" s="737">
        <f ca="1">(1+IRR(PreTaxCashFlowEquity,DiscMonthEquity))^12-1</f>
        <v>0.66661631057319637</v>
      </c>
      <c r="H115" s="301"/>
      <c r="I115" s="754"/>
      <c r="J115" s="228"/>
      <c r="K115" s="309"/>
      <c r="L115" s="282"/>
      <c r="M115" s="664" t="s">
        <v>1905</v>
      </c>
      <c r="N115" s="662"/>
      <c r="O115" s="663">
        <v>0</v>
      </c>
      <c r="P115" s="662"/>
      <c r="Q115" s="282"/>
    </row>
    <row r="116" spans="1:17" ht="12.75" hidden="1" customHeight="1" x14ac:dyDescent="0.35">
      <c r="A116" s="654"/>
      <c r="B116" s="282"/>
      <c r="C116" s="233"/>
      <c r="D116" s="228" t="s">
        <v>1906</v>
      </c>
      <c r="E116" s="301"/>
      <c r="F116" s="762">
        <f ca="1">IF(NOT(ISERROR(G116)),G116,"-")</f>
        <v>0.33334987667595417</v>
      </c>
      <c r="G116" s="719">
        <f ca="1">(1+MIRR(IrrCashFlowEquity,DiscMonthEquity,DiscMonthEquity))^12-1</f>
        <v>0.33334987667595417</v>
      </c>
      <c r="H116" s="301" t="str">
        <f ca="1">IF(VariableRate&lt;&gt;1,IF(ISNUMBER(F116),IF(F116*100+0.00001&gt;=$F$93,"&gt;= ","&lt; ")&amp;ROUND($F$93,2)&amp;" %",""),"")</f>
        <v>&gt;= 0 %</v>
      </c>
      <c r="I116" s="754" t="str">
        <f ca="1">IF(J116&lt;&gt;"","-&gt;","")</f>
        <v>-&gt;</v>
      </c>
      <c r="J116" s="228" t="str">
        <f ca="1">IF(AND(ShowConclusions,$F$8&lt;&gt;0),IF(VariableRate&lt;&gt;1,IF(ISNUMBER($F116),IF($F116*100+0.00001&gt;=$F$93,$A$57,$A$58),""),""),"")</f>
        <v xml:space="preserve"> profitable</v>
      </c>
      <c r="K116" s="309"/>
      <c r="L116" s="282"/>
      <c r="M116" s="664" t="s">
        <v>1907</v>
      </c>
      <c r="N116" s="662"/>
      <c r="O116" s="663">
        <v>0</v>
      </c>
      <c r="P116" s="662"/>
      <c r="Q116" s="282"/>
    </row>
    <row r="117" spans="1:17" ht="5.15" hidden="1" customHeight="1" x14ac:dyDescent="0.35">
      <c r="A117" s="654"/>
      <c r="B117" s="282"/>
      <c r="C117" s="233"/>
      <c r="D117" s="228"/>
      <c r="E117" s="301"/>
      <c r="F117" s="676"/>
      <c r="G117" s="737"/>
      <c r="H117" s="774"/>
      <c r="I117" s="301"/>
      <c r="J117" s="301"/>
      <c r="K117" s="309"/>
      <c r="L117" s="282"/>
      <c r="M117" s="664" t="s">
        <v>1908</v>
      </c>
      <c r="N117" s="662"/>
      <c r="O117" s="663">
        <v>0</v>
      </c>
      <c r="P117" s="662"/>
      <c r="Q117" s="282"/>
    </row>
    <row r="118" spans="1:17" ht="12.75" hidden="1" customHeight="1" x14ac:dyDescent="0.35">
      <c r="A118" s="654"/>
      <c r="B118" s="282"/>
      <c r="C118" s="233"/>
      <c r="D118" s="228" t="s">
        <v>1909</v>
      </c>
      <c r="E118" s="301"/>
      <c r="F118" s="679">
        <f ca="1">IF(OFFSET(Calculations!$Q$699,0,-1)&lt;0,"-",IF(ISERROR(IF(AND(SUM(F120)+0.00001&gt;0,(F120-F119)&lt;&gt;0),($G$130+($H$130-$G$130)*-F119/(F120-F119))/12,"-")),"-",IF(AND(SUM(F120)+0.00001&gt;0,(F120-F119)&lt;&gt;0),($G$130+($H$130-$G$130)*-F119/(F120-F119))/12,"-")))</f>
        <v>2.6795050765088981</v>
      </c>
      <c r="G118" s="737"/>
      <c r="H118" s="228" t="s">
        <v>1910</v>
      </c>
      <c r="I118" s="301"/>
      <c r="J118" s="301"/>
      <c r="K118" s="309"/>
      <c r="L118" s="282"/>
      <c r="M118" s="664" t="s">
        <v>1911</v>
      </c>
      <c r="N118" s="662"/>
      <c r="O118" s="663">
        <v>0</v>
      </c>
      <c r="P118" s="662"/>
      <c r="Q118" s="282"/>
    </row>
    <row r="119" spans="1:17" ht="11.15" hidden="1" customHeight="1" x14ac:dyDescent="0.35">
      <c r="A119" s="654"/>
      <c r="B119" s="282"/>
      <c r="C119" s="233"/>
      <c r="D119" s="228" t="str">
        <f ca="1">"Cumulative discounted FCFE "&amp;IF(ISERROR($G$131),"",OFFSET(Calculations!$G$11,0,CalcPointPB))&amp;"-&gt;"&amp;IF(ISERROR($D$123),$F$123,$D$123)</f>
        <v>Cumulative discounted FCFE 9/2019-&gt;12/2021</v>
      </c>
      <c r="E119" s="301"/>
      <c r="F119" s="676">
        <f ca="1">IF(ISERROR($G$131),"-",OFFSET(Calculations!$E$1213,0,$G$131+Calculations!$D$7-COLUMN(ID)-1))</f>
        <v>-898196.64516405866</v>
      </c>
      <c r="G119" s="737"/>
      <c r="H119" s="774"/>
      <c r="I119" s="301"/>
      <c r="J119" s="301"/>
      <c r="K119" s="309"/>
      <c r="L119" s="282"/>
      <c r="M119" s="664" t="s">
        <v>1912</v>
      </c>
      <c r="N119" s="662"/>
      <c r="O119" s="663">
        <v>0</v>
      </c>
      <c r="P119" s="662">
        <v>1</v>
      </c>
      <c r="Q119" s="282"/>
    </row>
    <row r="120" spans="1:17" ht="10" hidden="1" customHeight="1" x14ac:dyDescent="0.35">
      <c r="A120" s="654"/>
      <c r="B120" s="282"/>
      <c r="C120" s="233"/>
      <c r="D120" s="228" t="str">
        <f ca="1">"Cumulative discounted FCFE "&amp;IF(ISERROR($G$131),"",OFFSET(Calculations!$G$11,0,CalcPointPB))&amp;"-&gt;"&amp;IF(ISERROR($E$123),$F$123,IF($E$123=$D$123,$F$123,$E$123))</f>
        <v>Cumulative discounted FCFE 9/2019-&gt;12/2022</v>
      </c>
      <c r="E120" s="301"/>
      <c r="F120" s="676">
        <f ca="1">IF(ISERROR($G$131),"-",OFFSET(Calculations!$E$1213,0,$G$131+Calculations!$D$7-COLUMN(ID)))</f>
        <v>1696459.5128590069</v>
      </c>
      <c r="G120" s="737"/>
      <c r="H120" s="774"/>
      <c r="I120" s="301"/>
      <c r="J120" s="301"/>
      <c r="K120" s="309"/>
      <c r="L120" s="282"/>
      <c r="M120" s="664" t="s">
        <v>1913</v>
      </c>
      <c r="N120" s="662"/>
      <c r="O120" s="663">
        <v>0</v>
      </c>
      <c r="P120" s="662">
        <v>1</v>
      </c>
      <c r="Q120" s="282"/>
    </row>
    <row r="121" spans="1:17" ht="12.75" hidden="1" customHeight="1" x14ac:dyDescent="0.35">
      <c r="A121" s="654"/>
      <c r="B121" s="282"/>
      <c r="C121" s="233"/>
      <c r="D121" s="228" t="s">
        <v>1850</v>
      </c>
      <c r="E121" s="301"/>
      <c r="F121" s="676" t="str">
        <f ca="1">OFFSET(Calculations!$G$11,0,CalcPointPB)</f>
        <v>9/2019</v>
      </c>
      <c r="G121" s="737"/>
      <c r="H121" s="774"/>
      <c r="I121" s="301"/>
      <c r="J121" s="301"/>
      <c r="K121" s="309"/>
      <c r="L121" s="282"/>
      <c r="M121" s="664" t="s">
        <v>1914</v>
      </c>
      <c r="N121" s="662"/>
      <c r="O121" s="663">
        <v>0</v>
      </c>
      <c r="P121" s="662">
        <v>1</v>
      </c>
      <c r="Q121" s="282"/>
    </row>
    <row r="122" spans="1:17" ht="12.75" hidden="1" customHeight="1" x14ac:dyDescent="0.35">
      <c r="A122" s="654"/>
      <c r="B122" s="282"/>
      <c r="C122" s="233"/>
      <c r="D122" s="228" t="s">
        <v>1915</v>
      </c>
      <c r="E122" s="301"/>
      <c r="F122" s="679">
        <f ca="1">IF(OFFSET(Calculations!$Q$1228,0,-1)&lt;0,"-",IF(ISERROR(IF(AND(SUM(H141)+0.00001&gt;0,(H141-H140)&lt;&gt;0),($G$138+($H$138-$G$138)*-H140/(H141-H140))/12,"-")),"-",IF(AND(SUM(H141)+0.00001&gt;0,(H141-H140)&lt;&gt;0),($G$138+($H$138-$G$138)*-H140/(H141-H140))/12,"-")))</f>
        <v>2.6795050765088981</v>
      </c>
      <c r="G122" s="737"/>
      <c r="H122" s="228" t="s">
        <v>1916</v>
      </c>
      <c r="I122" s="301"/>
      <c r="J122" s="301"/>
      <c r="K122" s="309"/>
      <c r="L122" s="282"/>
      <c r="M122" s="664" t="s">
        <v>1917</v>
      </c>
      <c r="N122" s="662"/>
      <c r="O122" s="663">
        <v>0</v>
      </c>
      <c r="P122" s="662">
        <v>1</v>
      </c>
      <c r="Q122" s="282"/>
    </row>
    <row r="123" spans="1:17" ht="5.15" hidden="1" customHeight="1" x14ac:dyDescent="0.35">
      <c r="A123" s="654"/>
      <c r="B123" s="282"/>
      <c r="C123" s="233"/>
      <c r="D123" s="766" t="str">
        <f ca="1">OFFSET(Calculations!$E$1212,0,$G$131+Calculations!$D$7-COLUMN(ID)-1)</f>
        <v>12/2021</v>
      </c>
      <c r="E123" s="766" t="str">
        <f ca="1">OFFSET(Calculations!$E$1212,0,$G$131+Calculations!$D$7-COLUMN(ID))</f>
        <v>12/2022</v>
      </c>
      <c r="F123" s="766" t="s">
        <v>1493</v>
      </c>
      <c r="G123" s="767"/>
      <c r="H123" s="767"/>
      <c r="I123" s="301"/>
      <c r="J123" s="228"/>
      <c r="K123" s="309"/>
      <c r="L123" s="282"/>
      <c r="M123" s="664" t="s">
        <v>1918</v>
      </c>
      <c r="N123" s="662"/>
      <c r="O123" s="663">
        <v>0</v>
      </c>
      <c r="P123" s="662"/>
      <c r="Q123" s="282"/>
    </row>
    <row r="124" spans="1:17" ht="5.15" customHeight="1" x14ac:dyDescent="0.35">
      <c r="A124" s="654"/>
      <c r="B124" s="282"/>
      <c r="C124" s="226"/>
      <c r="D124" s="227"/>
      <c r="E124" s="227"/>
      <c r="F124" s="227"/>
      <c r="G124" s="227"/>
      <c r="H124" s="227"/>
      <c r="I124" s="227"/>
      <c r="J124" s="227"/>
      <c r="K124" s="548"/>
      <c r="L124" s="282"/>
      <c r="M124" s="664" t="s">
        <v>1919</v>
      </c>
      <c r="N124" s="662"/>
      <c r="O124" s="663"/>
      <c r="P124" s="662"/>
      <c r="Q124" s="282"/>
    </row>
    <row r="125" spans="1:17" ht="12.75" customHeight="1" x14ac:dyDescent="0.35">
      <c r="A125" s="654"/>
      <c r="B125" s="282"/>
      <c r="C125" s="233"/>
      <c r="D125" s="301" t="s">
        <v>1920</v>
      </c>
      <c r="E125" s="1412" t="str">
        <f>""&amp;User</f>
        <v>Datapartner Customer Support</v>
      </c>
      <c r="F125" s="1412"/>
      <c r="G125" s="1412"/>
      <c r="H125" s="1412"/>
      <c r="I125" s="1412"/>
      <c r="J125" s="775" t="str">
        <f>IF(InvDate&lt;&gt;"",InvDate,"")</f>
        <v/>
      </c>
      <c r="K125" s="551"/>
      <c r="L125" s="282"/>
      <c r="M125" s="664" t="s">
        <v>1921</v>
      </c>
      <c r="N125" s="662"/>
      <c r="O125" s="663"/>
      <c r="P125" s="662"/>
      <c r="Q125" s="282"/>
    </row>
    <row r="126" spans="1:17" ht="12.75" customHeight="1" x14ac:dyDescent="0.35">
      <c r="A126" s="654"/>
      <c r="B126" s="282"/>
      <c r="C126" s="233"/>
      <c r="D126" s="301" t="str">
        <f>TRIM('Basic Values'!$C$69)</f>
        <v>Calculation file</v>
      </c>
      <c r="E126" s="1413" t="str">
        <f ca="1">'Basic Values'!E69</f>
        <v>C:\Users\irinak\Desktop\New folder\Investment Project 1.xlsx</v>
      </c>
      <c r="F126" s="1413"/>
      <c r="G126" s="1413"/>
      <c r="H126" s="1413"/>
      <c r="I126" s="1413"/>
      <c r="J126" s="1413"/>
      <c r="K126" s="551"/>
      <c r="L126" s="282"/>
      <c r="M126" s="664" t="s">
        <v>1922</v>
      </c>
      <c r="N126" s="662"/>
      <c r="O126" s="663">
        <v>0</v>
      </c>
      <c r="P126" s="662"/>
      <c r="Q126" s="282"/>
    </row>
    <row r="127" spans="1:17" ht="5.15" customHeight="1" x14ac:dyDescent="0.35">
      <c r="A127" s="654"/>
      <c r="B127" s="282"/>
      <c r="C127" s="669"/>
      <c r="D127" s="237"/>
      <c r="E127" s="237"/>
      <c r="F127" s="776" t="str">
        <f>J125</f>
        <v/>
      </c>
      <c r="G127" s="237"/>
      <c r="H127" s="237"/>
      <c r="I127" s="237"/>
      <c r="J127" s="237"/>
      <c r="K127" s="553"/>
      <c r="L127" s="282"/>
      <c r="M127" s="664" t="s">
        <v>1923</v>
      </c>
      <c r="N127" s="662"/>
      <c r="O127" s="663">
        <v>0</v>
      </c>
      <c r="P127" s="662"/>
      <c r="Q127" s="282"/>
    </row>
    <row r="128" spans="1:17" ht="5.15" customHeight="1" x14ac:dyDescent="0.35">
      <c r="A128" s="654"/>
      <c r="B128" s="282"/>
      <c r="C128" s="231"/>
      <c r="D128" s="231"/>
      <c r="E128" s="231"/>
      <c r="F128" s="231"/>
      <c r="G128" s="231"/>
      <c r="H128" s="231"/>
      <c r="I128" s="231"/>
      <c r="J128" s="231"/>
      <c r="K128" s="282"/>
      <c r="L128" s="282"/>
      <c r="M128" s="664"/>
      <c r="N128" s="662"/>
      <c r="O128" s="663">
        <v>0</v>
      </c>
      <c r="P128" s="662"/>
      <c r="Q128" s="282"/>
    </row>
    <row r="129" spans="1:17" ht="7.5" customHeight="1" x14ac:dyDescent="0.35">
      <c r="A129" s="777"/>
      <c r="B129" s="777"/>
      <c r="C129" s="652"/>
      <c r="D129" s="652"/>
      <c r="E129" s="652"/>
      <c r="F129" s="652"/>
      <c r="G129" s="652"/>
      <c r="H129" s="652"/>
      <c r="I129" s="652"/>
      <c r="J129" s="652"/>
      <c r="K129" s="777"/>
      <c r="L129" s="777"/>
      <c r="M129" s="778"/>
      <c r="N129" s="777"/>
      <c r="O129" s="660"/>
      <c r="P129" s="654"/>
      <c r="Q129" s="654"/>
    </row>
    <row r="130" spans="1:17" ht="12.75" customHeight="1" x14ac:dyDescent="0.35">
      <c r="A130" s="654"/>
      <c r="B130" s="654"/>
      <c r="C130" s="648"/>
      <c r="D130" s="648" t="s">
        <v>1924</v>
      </c>
      <c r="E130" s="654"/>
      <c r="F130" s="654"/>
      <c r="G130" s="653">
        <f ca="1">HLOOKUP(0,DiscPayBackEquity,2)</f>
        <v>28</v>
      </c>
      <c r="H130" s="653">
        <f ca="1">IF(ISERROR(H131),G130,H131)</f>
        <v>40</v>
      </c>
      <c r="I130" s="653">
        <f ca="1">HLOOKUP(0,DiscPayBack,2)</f>
        <v>28</v>
      </c>
      <c r="J130" s="653">
        <f ca="1">IF(ISERROR(J131),I130,J131)</f>
        <v>40</v>
      </c>
      <c r="K130" s="653">
        <f ca="1">HLOOKUP(0,DiscPayBackDCVA,2)</f>
        <v>3</v>
      </c>
      <c r="L130" s="653">
        <f ca="1">IF(ISERROR(L131),K130,L131)</f>
        <v>4</v>
      </c>
      <c r="M130" s="778"/>
      <c r="N130" s="654"/>
      <c r="O130" s="660"/>
      <c r="P130" s="654"/>
      <c r="Q130" s="654"/>
    </row>
    <row r="131" spans="1:17" ht="12.75" customHeight="1" x14ac:dyDescent="0.35">
      <c r="A131" s="654"/>
      <c r="B131" s="654"/>
      <c r="C131" s="654"/>
      <c r="D131" s="654"/>
      <c r="E131" s="654"/>
      <c r="F131" s="654"/>
      <c r="G131" s="779">
        <f ca="1">MATCH(G130,CumMonths,0)</f>
        <v>7</v>
      </c>
      <c r="H131" s="779">
        <f ca="1">OFFSET(Calculations!$E$1040,0,G131+Calculations!$D$7-COLUMN(ID))</f>
        <v>40</v>
      </c>
      <c r="I131" s="779">
        <f ca="1">MATCH(I130,CumMonths,0)</f>
        <v>7</v>
      </c>
      <c r="J131" s="779">
        <f ca="1">OFFSET(Calculations!$E$1040,0,I131+Calculations!$D$7-COLUMN(ID))</f>
        <v>40</v>
      </c>
      <c r="K131" s="779">
        <f ca="1">MATCH(K130,CumMonths,0)</f>
        <v>4</v>
      </c>
      <c r="L131" s="779">
        <f ca="1">OFFSET(Calculations!$E$1040,0,K131+Calculations!$D$7-COLUMN(ID))</f>
        <v>4</v>
      </c>
      <c r="M131" s="778"/>
      <c r="N131" s="654"/>
      <c r="O131" s="660"/>
      <c r="P131" s="654"/>
      <c r="Q131" s="654"/>
    </row>
    <row r="132" spans="1:17" ht="12.75" customHeight="1" x14ac:dyDescent="0.35">
      <c r="A132" s="654"/>
      <c r="B132" s="654"/>
      <c r="C132" s="654"/>
      <c r="D132" s="654"/>
      <c r="E132" s="654"/>
      <c r="F132" s="780"/>
      <c r="G132" s="654"/>
      <c r="H132" s="654"/>
      <c r="I132" s="654"/>
      <c r="J132" s="654"/>
      <c r="K132" s="654"/>
      <c r="L132" s="654"/>
      <c r="M132" s="778"/>
      <c r="N132" s="654"/>
      <c r="O132" s="654"/>
      <c r="P132" s="654"/>
      <c r="Q132" s="654"/>
    </row>
    <row r="133" spans="1:17" ht="12.75" customHeight="1" x14ac:dyDescent="0.35">
      <c r="A133" s="654"/>
      <c r="B133" s="654"/>
      <c r="C133" s="654"/>
      <c r="D133" s="777">
        <v>0</v>
      </c>
      <c r="E133" s="777">
        <f ca="1">IF(E134&gt;0,E134,IF(MONTH(F133)=I133,D133,E134))</f>
        <v>3</v>
      </c>
      <c r="F133" s="781">
        <f ca="1">DATE(H133,I133,J133)</f>
        <v>43705</v>
      </c>
      <c r="G133" s="777"/>
      <c r="H133" s="777">
        <f ca="1">VALUE(RIGHT($F$11,4))-IF(CalcPoint&gt;0,0,IF(VALUE(LEFT($F$11,FIND("/",$F$11)-1))=1,1,0))</f>
        <v>2019</v>
      </c>
      <c r="I133" s="777">
        <f ca="1">VALUE(LEFT($F$11,FIND("/",$F$11)-1))-IF(CalcPoint&gt;0,0,IF(VALUE(LEFT($F$11,FIND("/",$F$11)-1))=1,-11,1))</f>
        <v>8</v>
      </c>
      <c r="J133" s="777">
        <v>28</v>
      </c>
      <c r="K133" s="654"/>
      <c r="L133" s="654"/>
      <c r="M133" s="778"/>
      <c r="N133" s="654"/>
      <c r="O133" s="654"/>
      <c r="P133" s="654"/>
      <c r="Q133" s="654"/>
    </row>
    <row r="134" spans="1:17" ht="12.75" customHeight="1" x14ac:dyDescent="0.35">
      <c r="A134" s="654"/>
      <c r="B134" s="654"/>
      <c r="C134" s="654"/>
      <c r="D134" s="777">
        <v>1</v>
      </c>
      <c r="E134" s="777">
        <f ca="1">IF(E135&gt;0,E135,IF(MONTH(F134)=I134,D134,E135))</f>
        <v>3</v>
      </c>
      <c r="F134" s="781">
        <f ca="1">DATE(H134,I134,J134)</f>
        <v>43706</v>
      </c>
      <c r="G134" s="777"/>
      <c r="H134" s="777">
        <f t="shared" ref="H134:I136" ca="1" si="1">H133</f>
        <v>2019</v>
      </c>
      <c r="I134" s="777">
        <f t="shared" ca="1" si="1"/>
        <v>8</v>
      </c>
      <c r="J134" s="777">
        <v>29</v>
      </c>
      <c r="K134" s="654"/>
      <c r="L134" s="654"/>
      <c r="M134" s="778"/>
      <c r="N134" s="654"/>
      <c r="O134" s="654"/>
      <c r="P134" s="654"/>
      <c r="Q134" s="654"/>
    </row>
    <row r="135" spans="1:17" ht="12.75" customHeight="1" x14ac:dyDescent="0.35">
      <c r="A135" s="654"/>
      <c r="B135" s="654"/>
      <c r="C135" s="654"/>
      <c r="D135" s="777">
        <v>2</v>
      </c>
      <c r="E135" s="777">
        <f ca="1">IF(E136&gt;0,E136,IF(MONTH(F135)=I135,D135,E136))</f>
        <v>3</v>
      </c>
      <c r="F135" s="781">
        <f ca="1">DATE(H135,I135,J135)</f>
        <v>43707</v>
      </c>
      <c r="G135" s="777"/>
      <c r="H135" s="777">
        <f t="shared" ca="1" si="1"/>
        <v>2019</v>
      </c>
      <c r="I135" s="777">
        <f t="shared" ca="1" si="1"/>
        <v>8</v>
      </c>
      <c r="J135" s="777">
        <v>30</v>
      </c>
      <c r="K135" s="654"/>
      <c r="L135" s="654"/>
      <c r="M135" s="778"/>
      <c r="N135" s="654"/>
      <c r="O135" s="654"/>
      <c r="P135" s="654"/>
      <c r="Q135" s="654"/>
    </row>
    <row r="136" spans="1:17" ht="12.75" customHeight="1" x14ac:dyDescent="0.35">
      <c r="A136" s="654"/>
      <c r="B136" s="654"/>
      <c r="C136" s="654"/>
      <c r="D136" s="777">
        <v>3</v>
      </c>
      <c r="E136" s="777">
        <f ca="1">IF(E137&gt;0,E137,IF(MONTH(F136)=I136,D136,E137))</f>
        <v>3</v>
      </c>
      <c r="F136" s="781">
        <f ca="1">DATE(H136,I136,J136)</f>
        <v>43708</v>
      </c>
      <c r="G136" s="777"/>
      <c r="H136" s="777">
        <f t="shared" ca="1" si="1"/>
        <v>2019</v>
      </c>
      <c r="I136" s="777">
        <f t="shared" ca="1" si="1"/>
        <v>8</v>
      </c>
      <c r="J136" s="777">
        <v>31</v>
      </c>
      <c r="K136" s="654"/>
      <c r="L136" s="654"/>
      <c r="M136" s="778"/>
      <c r="N136" s="654"/>
      <c r="O136" s="654"/>
      <c r="P136" s="654"/>
      <c r="Q136" s="654"/>
    </row>
    <row r="137" spans="1:17" ht="12.75" customHeight="1" x14ac:dyDescent="0.35">
      <c r="A137" s="782"/>
      <c r="B137" s="782"/>
      <c r="C137" s="782"/>
      <c r="D137" s="782"/>
      <c r="E137" s="782"/>
      <c r="F137" s="782"/>
      <c r="G137" s="782"/>
      <c r="H137" s="782"/>
      <c r="I137" s="782"/>
      <c r="J137" s="782"/>
      <c r="K137" s="782"/>
      <c r="L137" s="782"/>
      <c r="M137" s="783"/>
      <c r="N137" s="782"/>
      <c r="O137" s="782"/>
      <c r="P137" s="782"/>
      <c r="Q137" s="782"/>
    </row>
    <row r="138" spans="1:17" ht="12.75" customHeight="1" x14ac:dyDescent="0.35">
      <c r="A138" s="782"/>
      <c r="B138" s="782"/>
      <c r="C138" s="782"/>
      <c r="D138" s="782"/>
      <c r="E138" s="782"/>
      <c r="F138" s="782"/>
      <c r="G138" s="784">
        <f ca="1">HLOOKUP(0,NotDiscPaybackEquity,2)</f>
        <v>28</v>
      </c>
      <c r="H138" s="784">
        <f ca="1">IF(ISERROR(H139),G138,H139)</f>
        <v>40</v>
      </c>
      <c r="I138" s="784">
        <f ca="1">HLOOKUP(0,NotDiscPayback,2)</f>
        <v>28</v>
      </c>
      <c r="J138" s="784">
        <f ca="1">IF(ISERROR(J139),I138,J139)</f>
        <v>40</v>
      </c>
      <c r="K138" s="782"/>
      <c r="L138" s="782"/>
      <c r="M138" s="783"/>
      <c r="N138" s="782"/>
      <c r="O138" s="782"/>
      <c r="P138" s="782"/>
      <c r="Q138" s="782"/>
    </row>
    <row r="139" spans="1:17" ht="12.75" customHeight="1" x14ac:dyDescent="0.35">
      <c r="A139" s="782"/>
      <c r="B139" s="782"/>
      <c r="C139" s="782"/>
      <c r="D139" s="782"/>
      <c r="E139" s="782"/>
      <c r="F139" s="782"/>
      <c r="G139" s="784">
        <f ca="1">MATCH(G138,CumMonths,0)</f>
        <v>7</v>
      </c>
      <c r="H139" s="784">
        <f ca="1">OFFSET(Calculations!$E$1040,0,G139+Calculations!$D$7-COLUMN(ID))</f>
        <v>40</v>
      </c>
      <c r="I139" s="784">
        <f ca="1">MATCH(I138,CumMonths,0)</f>
        <v>7</v>
      </c>
      <c r="J139" s="784">
        <f ca="1">OFFSET(Calculations!$E$1040,0,I139+Calculations!$D$7-COLUMN(ID))</f>
        <v>40</v>
      </c>
      <c r="K139" s="782"/>
      <c r="L139" s="782"/>
      <c r="M139" s="783"/>
      <c r="N139" s="782"/>
      <c r="O139" s="782"/>
      <c r="P139" s="782"/>
      <c r="Q139" s="782"/>
    </row>
    <row r="140" spans="1:17" ht="12.75" customHeight="1" x14ac:dyDescent="0.35">
      <c r="A140" s="782"/>
      <c r="B140" s="782"/>
      <c r="C140" s="782"/>
      <c r="D140" s="782"/>
      <c r="E140" s="782"/>
      <c r="F140" s="782"/>
      <c r="G140" s="784"/>
      <c r="H140" s="784">
        <f ca="1">IF(ISERROR($G$139),"-",OFFSET(Calculations!$E$1228,0,$G$139+Calculations!$D$7-COLUMN(ID)-1))</f>
        <v>-898196.64516405854</v>
      </c>
      <c r="I140" s="784"/>
      <c r="J140" s="784">
        <f ca="1">IF(ISERROR($I$139),"-",OFFSET(Calculations!$E$1224,0,$I$139+Calculations!$D$7-COLUMN(ID)-1))</f>
        <v>-898196.64516405854</v>
      </c>
      <c r="K140" s="782"/>
      <c r="L140" s="782"/>
      <c r="M140" s="783"/>
      <c r="N140" s="782"/>
      <c r="O140" s="782"/>
      <c r="P140" s="782"/>
      <c r="Q140" s="782"/>
    </row>
    <row r="141" spans="1:17" ht="12.75" customHeight="1" x14ac:dyDescent="0.35">
      <c r="A141" s="782"/>
      <c r="B141" s="782"/>
      <c r="C141" s="782"/>
      <c r="D141" s="782"/>
      <c r="E141" s="782"/>
      <c r="F141" s="782"/>
      <c r="G141" s="784"/>
      <c r="H141" s="784">
        <f ca="1">IF(ISERROR($G$139),"-",OFFSET(Calculations!$E$1228,0,$G$139+Calculations!$D$7-COLUMN(ID)))</f>
        <v>1696459.5128590069</v>
      </c>
      <c r="I141" s="784"/>
      <c r="J141" s="784">
        <f ca="1">IF(ISERROR($I$139),"-",OFFSET(Calculations!$E$1224,0,$I$139+Calculations!$D$7-COLUMN(ID)))</f>
        <v>1696459.5128590069</v>
      </c>
      <c r="K141" s="782"/>
      <c r="L141" s="782"/>
      <c r="M141" s="783"/>
      <c r="N141" s="782"/>
      <c r="O141" s="782"/>
      <c r="P141" s="782"/>
      <c r="Q141" s="782"/>
    </row>
  </sheetData>
  <sheetProtection algorithmName="SHA-512" hashValue="b+B+DUSfuqTOkypkNSpoXZbhVlQp+QqohbtBd9OQU0zgDEK0liboUhMmaM54M7ZLglihfuBoRdtJ0SAJeWdWIw==" saltValue="Vm6OrEZLvbZ0FEOS1MQEfg==" spinCount="100000" sheet="1" objects="1" scenarios="1" formatCells="0"/>
  <mergeCells count="33">
    <mergeCell ref="H96:J96"/>
    <mergeCell ref="E125:I125"/>
    <mergeCell ref="E126:J126"/>
    <mergeCell ref="H63:J63"/>
    <mergeCell ref="H64:J64"/>
    <mergeCell ref="H65:J65"/>
    <mergeCell ref="H81:J81"/>
    <mergeCell ref="H93:J93"/>
    <mergeCell ref="H95:J95"/>
    <mergeCell ref="H62:J62"/>
    <mergeCell ref="H44:J44"/>
    <mergeCell ref="H45:J45"/>
    <mergeCell ref="H46:J46"/>
    <mergeCell ref="H47:J47"/>
    <mergeCell ref="H48:J48"/>
    <mergeCell ref="H51:J51"/>
    <mergeCell ref="H52:J52"/>
    <mergeCell ref="H53:J53"/>
    <mergeCell ref="H54:J54"/>
    <mergeCell ref="H55:J55"/>
    <mergeCell ref="H58:J58"/>
    <mergeCell ref="H43:J43"/>
    <mergeCell ref="E5:I5"/>
    <mergeCell ref="H15:J15"/>
    <mergeCell ref="H16:J16"/>
    <mergeCell ref="H33:J33"/>
    <mergeCell ref="H35:J35"/>
    <mergeCell ref="H36:J36"/>
    <mergeCell ref="H38:J38"/>
    <mergeCell ref="H39:J39"/>
    <mergeCell ref="H40:J40"/>
    <mergeCell ref="H41:J41"/>
    <mergeCell ref="H42:J42"/>
  </mergeCells>
  <printOptions horizontalCentered="1" verticalCentered="1"/>
  <pageMargins left="0.35433070866141736" right="0.35433070866141736" top="0.78740157480314965" bottom="0.78740157480314965" header="0.51181102362204722" footer="0.51181102362204722"/>
  <pageSetup paperSize="9" orientation="portrait" r:id="rId1"/>
  <headerFooter>
    <oddFooter>&amp;L&amp;8Invest for Excel&amp;C&amp;8&amp;F&amp;R&amp;8&amp;D: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kShowConclusions">
              <controlPr defaultSize="0" autoFill="0" autoLine="0" autoPict="0" macro="[0]!ResultConclusions">
                <anchor moveWithCells="1">
                  <from>
                    <xdr:col>3</xdr:col>
                    <xdr:colOff>0</xdr:colOff>
                    <xdr:row>128</xdr:row>
                    <xdr:rowOff>44450</xdr:rowOff>
                  </from>
                  <to>
                    <xdr:col>4</xdr:col>
                    <xdr:colOff>57150</xdr:colOff>
                    <xdr:row>130</xdr:row>
                    <xdr:rowOff>19050</xdr:rowOff>
                  </to>
                </anchor>
              </controlPr>
            </control>
          </mc:Choice>
        </mc:AlternateContent>
        <mc:AlternateContent xmlns:mc="http://schemas.openxmlformats.org/markup-compatibility/2006">
          <mc:Choice Requires="x14">
            <control shapeId="3074" r:id="rId5" name="cboPerpetuityBasePeriod">
              <controlPr defaultSize="0" autoFill="0" autoLine="0" autoPict="0">
                <anchor moveWithCells="1">
                  <from>
                    <xdr:col>4</xdr:col>
                    <xdr:colOff>177800</xdr:colOff>
                    <xdr:row>16</xdr:row>
                    <xdr:rowOff>0</xdr:rowOff>
                  </from>
                  <to>
                    <xdr:col>5</xdr:col>
                    <xdr:colOff>0</xdr:colOff>
                    <xdr:row>33</xdr:row>
                    <xdr:rowOff>50800</xdr:rowOff>
                  </to>
                </anchor>
              </controlPr>
            </control>
          </mc:Choice>
        </mc:AlternateContent>
        <mc:AlternateContent xmlns:mc="http://schemas.openxmlformats.org/markup-compatibility/2006">
          <mc:Choice Requires="x14">
            <control shapeId="3075" r:id="rId6" name="optPerpetuityBase1">
              <controlPr defaultSize="0" autoFill="0" autoLine="0" autoPict="0" macro="[0]!PerpetuityOptionPressed">
                <anchor moveWithCells="1">
                  <from>
                    <xdr:col>3</xdr:col>
                    <xdr:colOff>0</xdr:colOff>
                    <xdr:row>18</xdr:row>
                    <xdr:rowOff>0</xdr:rowOff>
                  </from>
                  <to>
                    <xdr:col>4</xdr:col>
                    <xdr:colOff>190500</xdr:colOff>
                    <xdr:row>34</xdr:row>
                    <xdr:rowOff>0</xdr:rowOff>
                  </to>
                </anchor>
              </controlPr>
            </control>
          </mc:Choice>
        </mc:AlternateContent>
        <mc:AlternateContent xmlns:mc="http://schemas.openxmlformats.org/markup-compatibility/2006">
          <mc:Choice Requires="x14">
            <control shapeId="3076" r:id="rId7" name="optPerpetuityBase2">
              <controlPr defaultSize="0" autoFill="0" autoLine="0" autoPict="0" macro="[0]!PerpetuityOptionPressed">
                <anchor moveWithCells="1">
                  <from>
                    <xdr:col>3</xdr:col>
                    <xdr:colOff>0</xdr:colOff>
                    <xdr:row>20</xdr:row>
                    <xdr:rowOff>0</xdr:rowOff>
                  </from>
                  <to>
                    <xdr:col>4</xdr:col>
                    <xdr:colOff>196850</xdr:colOff>
                    <xdr:row>34</xdr:row>
                    <xdr:rowOff>0</xdr:rowOff>
                  </to>
                </anchor>
              </controlPr>
            </control>
          </mc:Choice>
        </mc:AlternateContent>
        <mc:AlternateContent xmlns:mc="http://schemas.openxmlformats.org/markup-compatibility/2006">
          <mc:Choice Requires="x14">
            <control shapeId="3077" r:id="rId8" name="optPerpetuityNoGrowth">
              <controlPr defaultSize="0" autoFill="0" autoLine="0" autoPict="0" macro="[0]!PerpetuityOptionPressed">
                <anchor moveWithCells="1">
                  <from>
                    <xdr:col>3</xdr:col>
                    <xdr:colOff>0</xdr:colOff>
                    <xdr:row>24</xdr:row>
                    <xdr:rowOff>0</xdr:rowOff>
                  </from>
                  <to>
                    <xdr:col>4</xdr:col>
                    <xdr:colOff>177800</xdr:colOff>
                    <xdr:row>34</xdr:row>
                    <xdr:rowOff>0</xdr:rowOff>
                  </to>
                </anchor>
              </controlPr>
            </control>
          </mc:Choice>
        </mc:AlternateContent>
        <mc:AlternateContent xmlns:mc="http://schemas.openxmlformats.org/markup-compatibility/2006">
          <mc:Choice Requires="x14">
            <control shapeId="3078" r:id="rId9" name="optPerpetuityGrowth">
              <controlPr defaultSize="0" autoFill="0" autoLine="0" autoPict="0" macro="[0]!PerpetuityOptionPressed">
                <anchor moveWithCells="1">
                  <from>
                    <xdr:col>3</xdr:col>
                    <xdr:colOff>0</xdr:colOff>
                    <xdr:row>26</xdr:row>
                    <xdr:rowOff>0</xdr:rowOff>
                  </from>
                  <to>
                    <xdr:col>4</xdr:col>
                    <xdr:colOff>171450</xdr:colOff>
                    <xdr:row>34</xdr:row>
                    <xdr:rowOff>0</xdr:rowOff>
                  </to>
                </anchor>
              </controlPr>
            </control>
          </mc:Choice>
        </mc:AlternateContent>
        <mc:AlternateContent xmlns:mc="http://schemas.openxmlformats.org/markup-compatibility/2006">
          <mc:Choice Requires="x14">
            <control shapeId="3079" r:id="rId10" name="grpPerpetuityBase">
              <controlPr defaultSize="0" print="0" autoFill="0" autoPict="0">
                <anchor moveWithCells="1">
                  <from>
                    <xdr:col>2</xdr:col>
                    <xdr:colOff>0</xdr:colOff>
                    <xdr:row>16</xdr:row>
                    <xdr:rowOff>0</xdr:rowOff>
                  </from>
                  <to>
                    <xdr:col>6</xdr:col>
                    <xdr:colOff>38100</xdr:colOff>
                    <xdr:row>50</xdr:row>
                    <xdr:rowOff>57150</xdr:rowOff>
                  </to>
                </anchor>
              </controlPr>
            </control>
          </mc:Choice>
        </mc:AlternateContent>
        <mc:AlternateContent xmlns:mc="http://schemas.openxmlformats.org/markup-compatibility/2006">
          <mc:Choice Requires="x14">
            <control shapeId="3080" r:id="rId11" name="grpPerpetuityType">
              <controlPr defaultSize="0" print="0" autoFill="0" autoPict="0">
                <anchor moveWithCells="1">
                  <from>
                    <xdr:col>2</xdr:col>
                    <xdr:colOff>0</xdr:colOff>
                    <xdr:row>23</xdr:row>
                    <xdr:rowOff>6350</xdr:rowOff>
                  </from>
                  <to>
                    <xdr:col>6</xdr:col>
                    <xdr:colOff>38100</xdr:colOff>
                    <xdr:row>50</xdr:row>
                    <xdr:rowOff>57150</xdr:rowOff>
                  </to>
                </anchor>
              </controlPr>
            </control>
          </mc:Choice>
        </mc:AlternateContent>
        <mc:AlternateContent xmlns:mc="http://schemas.openxmlformats.org/markup-compatibility/2006">
          <mc:Choice Requires="x14">
            <control shapeId="3081" r:id="rId12" name="cboPerpetuityBasePeriodEquity">
              <controlPr defaultSize="0" autoFill="0" autoLine="0" autoPict="0">
                <anchor moveWithCells="1">
                  <from>
                    <xdr:col>4</xdr:col>
                    <xdr:colOff>177800</xdr:colOff>
                    <xdr:row>90</xdr:row>
                    <xdr:rowOff>0</xdr:rowOff>
                  </from>
                  <to>
                    <xdr:col>5</xdr:col>
                    <xdr:colOff>0</xdr:colOff>
                    <xdr:row>124</xdr:row>
                    <xdr:rowOff>146050</xdr:rowOff>
                  </to>
                </anchor>
              </controlPr>
            </control>
          </mc:Choice>
        </mc:AlternateContent>
        <mc:AlternateContent xmlns:mc="http://schemas.openxmlformats.org/markup-compatibility/2006">
          <mc:Choice Requires="x14">
            <control shapeId="3082" r:id="rId13" name="optPerpetuityBase1Equity">
              <controlPr defaultSize="0" autoFill="0" autoLine="0" autoPict="0" macro="[0]!PerpetuityOptionPressed">
                <anchor moveWithCells="1">
                  <from>
                    <xdr:col>3</xdr:col>
                    <xdr:colOff>0</xdr:colOff>
                    <xdr:row>98</xdr:row>
                    <xdr:rowOff>0</xdr:rowOff>
                  </from>
                  <to>
                    <xdr:col>4</xdr:col>
                    <xdr:colOff>190500</xdr:colOff>
                    <xdr:row>125</xdr:row>
                    <xdr:rowOff>0</xdr:rowOff>
                  </to>
                </anchor>
              </controlPr>
            </control>
          </mc:Choice>
        </mc:AlternateContent>
        <mc:AlternateContent xmlns:mc="http://schemas.openxmlformats.org/markup-compatibility/2006">
          <mc:Choice Requires="x14">
            <control shapeId="3083" r:id="rId14" name="optPerpetuityBase2Equity">
              <controlPr defaultSize="0" autoFill="0" autoLine="0" autoPict="0" macro="[0]!PerpetuityOptionPressed">
                <anchor moveWithCells="1">
                  <from>
                    <xdr:col>3</xdr:col>
                    <xdr:colOff>0</xdr:colOff>
                    <xdr:row>100</xdr:row>
                    <xdr:rowOff>0</xdr:rowOff>
                  </from>
                  <to>
                    <xdr:col>4</xdr:col>
                    <xdr:colOff>196850</xdr:colOff>
                    <xdr:row>125</xdr:row>
                    <xdr:rowOff>0</xdr:rowOff>
                  </to>
                </anchor>
              </controlPr>
            </control>
          </mc:Choice>
        </mc:AlternateContent>
        <mc:AlternateContent xmlns:mc="http://schemas.openxmlformats.org/markup-compatibility/2006">
          <mc:Choice Requires="x14">
            <control shapeId="3084" r:id="rId15" name="optPerpetuityNoGrowthEquity">
              <controlPr defaultSize="0" autoFill="0" autoLine="0" autoPict="0" macro="[0]!PerpetuityOptionPressed">
                <anchor moveWithCells="1">
                  <from>
                    <xdr:col>3</xdr:col>
                    <xdr:colOff>0</xdr:colOff>
                    <xdr:row>104</xdr:row>
                    <xdr:rowOff>0</xdr:rowOff>
                  </from>
                  <to>
                    <xdr:col>4</xdr:col>
                    <xdr:colOff>177800</xdr:colOff>
                    <xdr:row>125</xdr:row>
                    <xdr:rowOff>0</xdr:rowOff>
                  </to>
                </anchor>
              </controlPr>
            </control>
          </mc:Choice>
        </mc:AlternateContent>
        <mc:AlternateContent xmlns:mc="http://schemas.openxmlformats.org/markup-compatibility/2006">
          <mc:Choice Requires="x14">
            <control shapeId="3085" r:id="rId16" name="optPerpetuityGrowthEquity">
              <controlPr defaultSize="0" autoFill="0" autoLine="0" autoPict="0" macro="[0]!PerpetuityOptionPressed">
                <anchor moveWithCells="1">
                  <from>
                    <xdr:col>3</xdr:col>
                    <xdr:colOff>0</xdr:colOff>
                    <xdr:row>106</xdr:row>
                    <xdr:rowOff>0</xdr:rowOff>
                  </from>
                  <to>
                    <xdr:col>4</xdr:col>
                    <xdr:colOff>171450</xdr:colOff>
                    <xdr:row>125</xdr:row>
                    <xdr:rowOff>0</xdr:rowOff>
                  </to>
                </anchor>
              </controlPr>
            </control>
          </mc:Choice>
        </mc:AlternateContent>
        <mc:AlternateContent xmlns:mc="http://schemas.openxmlformats.org/markup-compatibility/2006">
          <mc:Choice Requires="x14">
            <control shapeId="3086" r:id="rId17" name="grpPerpetuityBaseEquity">
              <controlPr defaultSize="0" print="0" autoFill="0" autoPict="0">
                <anchor moveWithCells="1">
                  <from>
                    <xdr:col>2</xdr:col>
                    <xdr:colOff>0</xdr:colOff>
                    <xdr:row>96</xdr:row>
                    <xdr:rowOff>0</xdr:rowOff>
                  </from>
                  <to>
                    <xdr:col>6</xdr:col>
                    <xdr:colOff>38100</xdr:colOff>
                    <xdr:row>129</xdr:row>
                    <xdr:rowOff>63500</xdr:rowOff>
                  </to>
                </anchor>
              </controlPr>
            </control>
          </mc:Choice>
        </mc:AlternateContent>
        <mc:AlternateContent xmlns:mc="http://schemas.openxmlformats.org/markup-compatibility/2006">
          <mc:Choice Requires="x14">
            <control shapeId="3087" r:id="rId18" name="grpPerpetuityTypeEquity">
              <controlPr defaultSize="0" print="0" autoFill="0" autoPict="0">
                <anchor moveWithCells="1">
                  <from>
                    <xdr:col>2</xdr:col>
                    <xdr:colOff>0</xdr:colOff>
                    <xdr:row>103</xdr:row>
                    <xdr:rowOff>6350</xdr:rowOff>
                  </from>
                  <to>
                    <xdr:col>6</xdr:col>
                    <xdr:colOff>38100</xdr:colOff>
                    <xdr:row>129</xdr:row>
                    <xdr:rowOff>63500</xdr:rowOff>
                  </to>
                </anchor>
              </controlPr>
            </control>
          </mc:Choice>
        </mc:AlternateContent>
        <mc:AlternateContent xmlns:mc="http://schemas.openxmlformats.org/markup-compatibility/2006">
          <mc:Choice Requires="x14">
            <control shapeId="3088" r:id="rId19" name="PerpetuityLimitDD">
              <controlPr defaultSize="0" autoLine="0" autoPict="0">
                <anchor moveWithCells="1">
                  <from>
                    <xdr:col>9</xdr:col>
                    <xdr:colOff>0</xdr:colOff>
                    <xdr:row>16</xdr:row>
                    <xdr:rowOff>0</xdr:rowOff>
                  </from>
                  <to>
                    <xdr:col>10</xdr:col>
                    <xdr:colOff>0</xdr:colOff>
                    <xdr:row>33</xdr:row>
                    <xdr:rowOff>50800</xdr:rowOff>
                  </to>
                </anchor>
              </controlPr>
            </control>
          </mc:Choice>
        </mc:AlternateContent>
        <mc:AlternateContent xmlns:mc="http://schemas.openxmlformats.org/markup-compatibility/2006">
          <mc:Choice Requires="x14">
            <control shapeId="3089" r:id="rId20" name="PerpetuityLimitDDEquity">
              <controlPr defaultSize="0" autoLine="0" autoPict="0">
                <anchor moveWithCells="1">
                  <from>
                    <xdr:col>9</xdr:col>
                    <xdr:colOff>0</xdr:colOff>
                    <xdr:row>90</xdr:row>
                    <xdr:rowOff>0</xdr:rowOff>
                  </from>
                  <to>
                    <xdr:col>10</xdr:col>
                    <xdr:colOff>0</xdr:colOff>
                    <xdr:row>124</xdr:row>
                    <xdr:rowOff>146050</xdr:rowOff>
                  </to>
                </anchor>
              </controlPr>
            </control>
          </mc:Choice>
        </mc:AlternateContent>
        <mc:AlternateContent xmlns:mc="http://schemas.openxmlformats.org/markup-compatibility/2006">
          <mc:Choice Requires="x14">
            <control shapeId="3090" r:id="rId21" name="cboEVEbitda">
              <controlPr defaultSize="0" autoLine="0" autoPict="0">
                <anchor moveWithCells="1">
                  <from>
                    <xdr:col>9</xdr:col>
                    <xdr:colOff>44450</xdr:colOff>
                    <xdr:row>48</xdr:row>
                    <xdr:rowOff>6350</xdr:rowOff>
                  </from>
                  <to>
                    <xdr:col>9</xdr:col>
                    <xdr:colOff>558800</xdr:colOff>
                    <xdr:row>51</xdr:row>
                    <xdr:rowOff>25400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autoPageBreaks="0"/>
  </sheetPr>
  <dimension ref="A1:D225"/>
  <sheetViews>
    <sheetView topLeftCell="A176"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4559</v>
      </c>
      <c r="D3" s="28"/>
    </row>
    <row r="4" spans="1:4" ht="12.75" customHeight="1" x14ac:dyDescent="0.35">
      <c r="A4" s="28"/>
      <c r="B4" s="28"/>
      <c r="C4" s="28"/>
      <c r="D4" s="28"/>
    </row>
    <row r="5" spans="1:4" ht="12.75" customHeight="1" x14ac:dyDescent="0.35">
      <c r="A5" s="28"/>
      <c r="B5" s="28"/>
      <c r="C5" s="28"/>
      <c r="D5" s="28" t="s">
        <v>4560</v>
      </c>
    </row>
    <row r="6" spans="1:4" ht="12.75" customHeight="1" x14ac:dyDescent="0.35">
      <c r="A6" s="28"/>
      <c r="B6" s="28"/>
      <c r="C6" s="28"/>
      <c r="D6" s="28" t="s">
        <v>4561</v>
      </c>
    </row>
    <row r="7" spans="1:4" ht="12.75" customHeight="1" x14ac:dyDescent="0.35">
      <c r="A7" s="28"/>
      <c r="B7" s="28"/>
      <c r="C7" s="28"/>
      <c r="D7" s="105" t="s">
        <v>4562</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28" t="s">
        <v>4563</v>
      </c>
      <c r="D44" s="28"/>
    </row>
    <row r="45" spans="1:4" ht="12.75" customHeight="1" x14ac:dyDescent="0.35">
      <c r="A45" s="28"/>
      <c r="B45" s="28"/>
      <c r="C45" s="28"/>
      <c r="D45"/>
    </row>
    <row r="46" spans="1:4" ht="12.75" customHeight="1" x14ac:dyDescent="0.35">
      <c r="A46" s="28"/>
      <c r="B46" s="28"/>
      <c r="C46" s="28"/>
      <c r="D46" s="28" t="str">
        <f>" Totalinvestering, "&amp;IF(Figures&gt;1,Figures&amp;" ","")&amp;Currency</f>
        <v xml:space="preserve"> Totalinvestering,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4564</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4565</v>
      </c>
      <c r="D89" s="28"/>
    </row>
    <row r="90" spans="1:4" ht="12.75" customHeight="1" x14ac:dyDescent="0.35">
      <c r="A90" s="28"/>
      <c r="B90" s="28"/>
      <c r="C90" s="28"/>
      <c r="D90" s="28"/>
    </row>
    <row r="91" spans="1:4" ht="12.75" customHeight="1" x14ac:dyDescent="0.35">
      <c r="A91" s="28"/>
      <c r="B91" s="28"/>
      <c r="C91" s="28"/>
      <c r="D91" s="28" t="s">
        <v>4566</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4567</v>
      </c>
      <c r="D133" s="28"/>
    </row>
    <row r="134" spans="1:4" ht="12.75" customHeight="1" x14ac:dyDescent="0.35">
      <c r="A134" s="28"/>
      <c r="B134" s="28"/>
      <c r="C134" s="28"/>
      <c r="D134" s="28"/>
    </row>
    <row r="135" spans="1:4" ht="12.75" customHeight="1" x14ac:dyDescent="0.35">
      <c r="A135" s="28"/>
      <c r="B135" s="28"/>
      <c r="C135" s="28"/>
      <c r="D135" s="28" t="s">
        <v>4568</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4569</v>
      </c>
      <c r="D177" s="28"/>
    </row>
    <row r="178" spans="1:4" ht="12.75" customHeight="1" x14ac:dyDescent="0.35">
      <c r="A178" s="28"/>
      <c r="B178" s="28"/>
      <c r="C178" s="28"/>
      <c r="D178" s="28"/>
    </row>
    <row r="179" spans="1:4" ht="12.75" customHeight="1" x14ac:dyDescent="0.35">
      <c r="A179" s="28"/>
      <c r="B179" s="28"/>
      <c r="C179" s="28"/>
      <c r="D179" s="28" t="s">
        <v>4570</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28" t="s">
        <v>5459</v>
      </c>
      <c r="D221"/>
    </row>
    <row r="222" spans="1:4" ht="12.75" customHeight="1" x14ac:dyDescent="0.35">
      <c r="A222"/>
      <c r="B222"/>
      <c r="C222"/>
      <c r="D222"/>
    </row>
    <row r="223" spans="1:4" ht="12.75" customHeight="1" x14ac:dyDescent="0.35">
      <c r="A223"/>
      <c r="B223"/>
      <c r="C223"/>
      <c r="D223" s="28" t="s">
        <v>4571</v>
      </c>
    </row>
    <row r="224" spans="1:4" ht="12.75" customHeight="1" x14ac:dyDescent="0.35">
      <c r="A224"/>
      <c r="B224"/>
      <c r="C224"/>
      <c r="D224" s="28" t="s">
        <v>4572</v>
      </c>
    </row>
    <row r="225" spans="1:4" ht="12.75" customHeight="1" x14ac:dyDescent="0.35">
      <c r="A225"/>
      <c r="B225"/>
      <c r="C225"/>
      <c r="D225" s="28" t="s">
        <v>4573</v>
      </c>
    </row>
  </sheetData>
  <printOptions gridLines="1"/>
  <pageMargins left="0.75" right="0.75" top="1" bottom="1" header="0.5" footer="0.5"/>
  <pageSetup paperSize="9" orientation="portrait" r:id="rId1"/>
  <headerFooter>
    <oddHeader>&amp;C&amp;A</oddHeader>
    <oddFooter>&amp;CPage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pageSetUpPr autoPageBreaks="0"/>
  </sheetPr>
  <dimension ref="A1:D225"/>
  <sheetViews>
    <sheetView topLeftCell="A221"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5107</v>
      </c>
      <c r="D3" s="28"/>
    </row>
    <row r="4" spans="1:4" ht="12.75" customHeight="1" x14ac:dyDescent="0.35">
      <c r="A4" s="28"/>
      <c r="B4" s="28"/>
      <c r="C4" s="28"/>
      <c r="D4" s="28"/>
    </row>
    <row r="5" spans="1:4" ht="12.75" customHeight="1" x14ac:dyDescent="0.35">
      <c r="A5" s="28"/>
      <c r="B5" s="28"/>
      <c r="C5" s="28"/>
      <c r="D5" s="28" t="s">
        <v>4574</v>
      </c>
    </row>
    <row r="6" spans="1:4" ht="12.75" customHeight="1" x14ac:dyDescent="0.35">
      <c r="A6" s="28"/>
      <c r="B6" s="28"/>
      <c r="C6" s="28"/>
      <c r="D6" s="28" t="s">
        <v>4575</v>
      </c>
    </row>
    <row r="7" spans="1:4" ht="12.75" customHeight="1" x14ac:dyDescent="0.35">
      <c r="A7" s="28"/>
      <c r="B7" s="28"/>
      <c r="C7" s="28"/>
      <c r="D7" s="105" t="s">
        <v>4576</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132" t="s">
        <v>5146</v>
      </c>
      <c r="D44" s="28"/>
    </row>
    <row r="45" spans="1:4" ht="12.75" customHeight="1" x14ac:dyDescent="0.35">
      <c r="A45" s="28"/>
      <c r="B45" s="28"/>
      <c r="C45" s="28"/>
      <c r="D45"/>
    </row>
    <row r="46" spans="1:4" ht="12.75" customHeight="1" x14ac:dyDescent="0.35">
      <c r="A46" s="28"/>
      <c r="B46" s="28"/>
      <c r="C46" s="28"/>
      <c r="D46" s="28" t="s">
        <v>4577</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4578</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132" t="s">
        <v>5147</v>
      </c>
      <c r="D89" s="28"/>
    </row>
    <row r="90" spans="1:4" ht="12.75" customHeight="1" x14ac:dyDescent="0.35">
      <c r="A90" s="28"/>
      <c r="B90" s="28"/>
      <c r="C90" s="28"/>
      <c r="D90" s="28"/>
    </row>
    <row r="91" spans="1:4" ht="12.75" customHeight="1" x14ac:dyDescent="0.35">
      <c r="A91" s="28"/>
      <c r="B91" s="28"/>
      <c r="C91" s="28"/>
      <c r="D91" s="28" t="s">
        <v>4579</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132" t="s">
        <v>5148</v>
      </c>
      <c r="D133" s="28"/>
    </row>
    <row r="134" spans="1:4" ht="12.75" customHeight="1" x14ac:dyDescent="0.35">
      <c r="A134" s="28"/>
      <c r="B134" s="28"/>
      <c r="C134" s="28"/>
      <c r="D134" s="28"/>
    </row>
    <row r="135" spans="1:4" ht="12.75" customHeight="1" x14ac:dyDescent="0.35">
      <c r="A135" s="28"/>
      <c r="B135" s="28"/>
      <c r="C135" s="28"/>
      <c r="D135" s="28" t="s">
        <v>4580</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5149</v>
      </c>
      <c r="D177" s="28"/>
    </row>
    <row r="178" spans="1:4" ht="12.75" customHeight="1" x14ac:dyDescent="0.35">
      <c r="A178" s="28"/>
      <c r="B178" s="28"/>
      <c r="C178" s="28"/>
      <c r="D178" s="28"/>
    </row>
    <row r="179" spans="1:4" ht="12.75" customHeight="1" x14ac:dyDescent="0.35">
      <c r="A179" s="28"/>
      <c r="B179" s="28"/>
      <c r="C179" s="28"/>
      <c r="D179" s="28" t="s">
        <v>4581</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132" t="s">
        <v>5460</v>
      </c>
      <c r="D221"/>
    </row>
    <row r="222" spans="1:4" ht="12.75" customHeight="1" x14ac:dyDescent="0.35">
      <c r="A222"/>
      <c r="B222"/>
      <c r="C222"/>
      <c r="D222"/>
    </row>
    <row r="223" spans="1:4" ht="12.75" customHeight="1" x14ac:dyDescent="0.35">
      <c r="A223"/>
      <c r="B223"/>
      <c r="C223"/>
      <c r="D223" s="28" t="s">
        <v>4582</v>
      </c>
    </row>
    <row r="224" spans="1:4" ht="12.75" customHeight="1" x14ac:dyDescent="0.35">
      <c r="A224"/>
      <c r="B224"/>
      <c r="C224"/>
      <c r="D224" s="28" t="s">
        <v>4583</v>
      </c>
    </row>
    <row r="225" spans="1:4" ht="12.75" customHeight="1" x14ac:dyDescent="0.35">
      <c r="A225"/>
      <c r="B225"/>
      <c r="C225"/>
      <c r="D225" s="28" t="s">
        <v>4584</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6">
    <pageSetUpPr autoPageBreaks="0"/>
  </sheetPr>
  <dimension ref="C1:D225"/>
  <sheetViews>
    <sheetView topLeftCell="A197" workbookViewId="0">
      <selection activeCell="C221" sqref="C22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c r="C3" s="97" t="s">
        <v>4585</v>
      </c>
    </row>
    <row r="4" spans="3:4" ht="12.75" customHeight="1" x14ac:dyDescent="0.35"/>
    <row r="5" spans="3:4" ht="12.75" customHeight="1" x14ac:dyDescent="0.35">
      <c r="D5" s="97" t="s">
        <v>4586</v>
      </c>
    </row>
    <row r="6" spans="3:4" ht="12.75" customHeight="1" x14ac:dyDescent="0.35">
      <c r="D6" s="97" t="s">
        <v>4587</v>
      </c>
    </row>
    <row r="7" spans="3:4" ht="12.75" customHeight="1" x14ac:dyDescent="0.35">
      <c r="D7" s="101" t="s">
        <v>4588</v>
      </c>
    </row>
    <row r="8" spans="3:4" ht="12.75" customHeight="1" x14ac:dyDescent="0.35"/>
    <row r="9" spans="3:4" ht="12.75" customHeight="1" x14ac:dyDescent="0.35"/>
    <row r="10" spans="3:4" ht="12.75" customHeight="1" x14ac:dyDescent="0.35"/>
    <row r="11" spans="3:4" ht="12.75" customHeight="1" x14ac:dyDescent="0.35"/>
    <row r="12" spans="3:4" ht="12.75" customHeight="1" x14ac:dyDescent="0.35"/>
    <row r="13" spans="3:4" ht="12.75" customHeight="1" x14ac:dyDescent="0.35"/>
    <row r="14" spans="3:4" ht="12.75" customHeight="1" x14ac:dyDescent="0.35"/>
    <row r="15" spans="3:4" ht="12.75" customHeight="1" x14ac:dyDescent="0.35"/>
    <row r="16" spans="3:4"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spans="3:4" ht="12.75" customHeight="1" x14ac:dyDescent="0.35"/>
    <row r="34" spans="3:4" ht="12.75" customHeight="1" x14ac:dyDescent="0.35"/>
    <row r="35" spans="3:4" ht="12.75" customHeight="1" x14ac:dyDescent="0.35"/>
    <row r="36" spans="3:4" ht="12.75" customHeight="1" x14ac:dyDescent="0.35"/>
    <row r="37" spans="3:4" ht="12.75" customHeight="1" x14ac:dyDescent="0.35"/>
    <row r="38" spans="3:4" ht="12.75" customHeight="1" x14ac:dyDescent="0.35"/>
    <row r="39" spans="3:4" ht="12.75" customHeight="1" x14ac:dyDescent="0.35"/>
    <row r="40" spans="3:4" ht="12.75" customHeight="1" x14ac:dyDescent="0.35"/>
    <row r="41" spans="3:4" ht="12.75" customHeight="1" x14ac:dyDescent="0.35"/>
    <row r="42" spans="3:4" ht="12.75" customHeight="1" x14ac:dyDescent="0.35"/>
    <row r="43" spans="3:4" ht="12.75" customHeight="1" x14ac:dyDescent="0.35"/>
    <row r="44" spans="3:4" ht="12.75" customHeight="1" x14ac:dyDescent="0.35">
      <c r="C44" s="97" t="s">
        <v>4589</v>
      </c>
    </row>
    <row r="45" spans="3:4" ht="12.75" customHeight="1" x14ac:dyDescent="0.35"/>
    <row r="46" spans="3:4" ht="12.75" customHeight="1" x14ac:dyDescent="0.35">
      <c r="D46" s="97" t="str">
        <f>" Inwestycje ogółem, "&amp;IF(Figures&gt;1,Figures&amp;" ","")&amp;Currency</f>
        <v xml:space="preserve"> Inwestycje ogółem, Euro</v>
      </c>
    </row>
    <row r="47" spans="3:4" ht="12.75" customHeight="1" x14ac:dyDescent="0.35"/>
    <row r="48" spans="3:4"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spans="4:4" ht="12.75" customHeight="1" x14ac:dyDescent="0.35"/>
    <row r="66" spans="4:4" ht="12.75" customHeight="1" x14ac:dyDescent="0.35"/>
    <row r="67" spans="4:4" ht="12.75" customHeight="1" x14ac:dyDescent="0.35"/>
    <row r="68" spans="4:4" ht="12.75" customHeight="1" x14ac:dyDescent="0.35"/>
    <row r="69" spans="4:4" ht="12.75" customHeight="1" x14ac:dyDescent="0.35"/>
    <row r="70" spans="4:4" ht="12.75" customHeight="1" x14ac:dyDescent="0.35"/>
    <row r="71" spans="4:4" ht="12.75" customHeight="1" x14ac:dyDescent="0.35"/>
    <row r="72" spans="4:4" ht="12.75" customHeight="1" x14ac:dyDescent="0.35"/>
    <row r="73" spans="4:4" ht="12.75" customHeight="1" x14ac:dyDescent="0.35"/>
    <row r="74" spans="4:4" ht="12.75" customHeight="1" x14ac:dyDescent="0.35"/>
    <row r="75" spans="4:4" ht="12.75" customHeight="1" x14ac:dyDescent="0.35"/>
    <row r="76" spans="4:4" ht="12.75" customHeight="1" x14ac:dyDescent="0.35"/>
    <row r="77" spans="4:4" ht="12.75" customHeight="1" x14ac:dyDescent="0.35"/>
    <row r="78" spans="4:4" ht="12.75" customHeight="1" x14ac:dyDescent="0.35">
      <c r="D78" s="97" t="s">
        <v>4590</v>
      </c>
    </row>
    <row r="79" spans="4:4" ht="12.75" customHeight="1" x14ac:dyDescent="0.35"/>
    <row r="80" spans="4:4" ht="12.75" customHeight="1" x14ac:dyDescent="0.35"/>
    <row r="81" spans="3:4" ht="12.75" customHeight="1" x14ac:dyDescent="0.35"/>
    <row r="82" spans="3:4" ht="12.75" customHeight="1" x14ac:dyDescent="0.35"/>
    <row r="83" spans="3:4" ht="12.75" customHeight="1" x14ac:dyDescent="0.35"/>
    <row r="84" spans="3:4" ht="12.75" customHeight="1" x14ac:dyDescent="0.35"/>
    <row r="85" spans="3:4" ht="12.75" customHeight="1" x14ac:dyDescent="0.35"/>
    <row r="86" spans="3:4" ht="12.75" customHeight="1" x14ac:dyDescent="0.35"/>
    <row r="87" spans="3:4" ht="12.75" customHeight="1" x14ac:dyDescent="0.35"/>
    <row r="88" spans="3:4" ht="12.75" customHeight="1" x14ac:dyDescent="0.35"/>
    <row r="89" spans="3:4" ht="12.75" customHeight="1" x14ac:dyDescent="0.35">
      <c r="C89" s="97" t="s">
        <v>4591</v>
      </c>
    </row>
    <row r="90" spans="3:4" ht="12.75" customHeight="1" x14ac:dyDescent="0.35"/>
    <row r="91" spans="3:4" ht="12.75" customHeight="1" x14ac:dyDescent="0.35">
      <c r="D91" s="97" t="s">
        <v>4592</v>
      </c>
    </row>
    <row r="92" spans="3:4" ht="12.75" customHeight="1" x14ac:dyDescent="0.35"/>
    <row r="93" spans="3:4" ht="12.75" customHeight="1" x14ac:dyDescent="0.35"/>
    <row r="94" spans="3:4" ht="12.75" customHeight="1" x14ac:dyDescent="0.35"/>
    <row r="95" spans="3:4" ht="12.75" customHeight="1" x14ac:dyDescent="0.35"/>
    <row r="96" spans="3:4"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spans="3:4" ht="12.75" customHeight="1" x14ac:dyDescent="0.35"/>
    <row r="130" spans="3:4" ht="12.75" customHeight="1" x14ac:dyDescent="0.35"/>
    <row r="131" spans="3:4" ht="12.75" customHeight="1" x14ac:dyDescent="0.35"/>
    <row r="132" spans="3:4" ht="12.75" customHeight="1" x14ac:dyDescent="0.35"/>
    <row r="133" spans="3:4" ht="12.75" customHeight="1" x14ac:dyDescent="0.35">
      <c r="C133" s="97" t="s">
        <v>4593</v>
      </c>
    </row>
    <row r="134" spans="3:4" ht="12.75" customHeight="1" x14ac:dyDescent="0.35"/>
    <row r="135" spans="3:4" ht="12.75" customHeight="1" x14ac:dyDescent="0.35">
      <c r="D135" s="97" t="s">
        <v>4594</v>
      </c>
    </row>
    <row r="136" spans="3:4" ht="12.75" customHeight="1" x14ac:dyDescent="0.35"/>
    <row r="137" spans="3:4" ht="12.75" customHeight="1" x14ac:dyDescent="0.35"/>
    <row r="138" spans="3:4" ht="12.75" customHeight="1" x14ac:dyDescent="0.35"/>
    <row r="139" spans="3:4" ht="12.75" customHeight="1" x14ac:dyDescent="0.35"/>
    <row r="140" spans="3:4" ht="12.75" customHeight="1" x14ac:dyDescent="0.35"/>
    <row r="141" spans="3:4" ht="12.75" customHeight="1" x14ac:dyDescent="0.35"/>
    <row r="142" spans="3:4" ht="12.75" customHeight="1" x14ac:dyDescent="0.35"/>
    <row r="143" spans="3:4" ht="12.75" customHeight="1" x14ac:dyDescent="0.35"/>
    <row r="144" spans="3: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spans="3:4" ht="12.75" customHeight="1" x14ac:dyDescent="0.35">
      <c r="C177" s="97" t="s">
        <v>4595</v>
      </c>
    </row>
    <row r="178" spans="3:4" ht="12.75" customHeight="1" x14ac:dyDescent="0.35"/>
    <row r="179" spans="3:4" ht="12.75" customHeight="1" x14ac:dyDescent="0.35">
      <c r="D179" s="97" t="s">
        <v>4596</v>
      </c>
    </row>
    <row r="180" spans="3:4" ht="12.75" customHeight="1" x14ac:dyDescent="0.35"/>
    <row r="181" spans="3:4" ht="12.75" customHeight="1" x14ac:dyDescent="0.35"/>
    <row r="182" spans="3:4" ht="12.75" customHeight="1" x14ac:dyDescent="0.35"/>
    <row r="183" spans="3:4" ht="12.75" customHeight="1" x14ac:dyDescent="0.35"/>
    <row r="184" spans="3:4" ht="12.75" customHeight="1" x14ac:dyDescent="0.35"/>
    <row r="185" spans="3:4" ht="12.75" customHeight="1" x14ac:dyDescent="0.35"/>
    <row r="186" spans="3:4" ht="12.75" customHeight="1" x14ac:dyDescent="0.35"/>
    <row r="187" spans="3:4" ht="12.75" customHeight="1" x14ac:dyDescent="0.35"/>
    <row r="188" spans="3:4" ht="12.75" customHeight="1" x14ac:dyDescent="0.35"/>
    <row r="189" spans="3:4" ht="12.75" customHeight="1" x14ac:dyDescent="0.35"/>
    <row r="190" spans="3:4" ht="12.75" customHeight="1" x14ac:dyDescent="0.35"/>
    <row r="191" spans="3:4" ht="12.75" customHeight="1" x14ac:dyDescent="0.35"/>
    <row r="192" spans="3:4"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97" t="s">
        <v>5461</v>
      </c>
    </row>
    <row r="222" spans="3:4" ht="12.75" customHeight="1" x14ac:dyDescent="0.35"/>
    <row r="223" spans="3:4" ht="12.75" customHeight="1" x14ac:dyDescent="0.35">
      <c r="D223" s="97" t="s">
        <v>4597</v>
      </c>
    </row>
    <row r="224" spans="3:4" x14ac:dyDescent="0.35">
      <c r="D224" s="97" t="s">
        <v>4598</v>
      </c>
    </row>
    <row r="225" spans="4:4" x14ac:dyDescent="0.35">
      <c r="D225" s="97" t="s">
        <v>4599</v>
      </c>
    </row>
  </sheetData>
  <printOptions gridLines="1"/>
  <pageMargins left="0.75" right="0.75" top="1" bottom="1" header="0.5" footer="0.5"/>
  <pageSetup paperSize="9" orientation="portrait" r:id="rId1"/>
  <headerFooter>
    <oddHeader>&amp;C&amp;A</oddHeader>
    <oddFooter>&amp;CPage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autoPageBreaks="0"/>
  </sheetPr>
  <dimension ref="C1:D225"/>
  <sheetViews>
    <sheetView topLeftCell="A194" workbookViewId="0">
      <selection activeCell="C221" sqref="C22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c r="C3" s="97" t="s">
        <v>4600</v>
      </c>
    </row>
    <row r="4" spans="3:4" ht="12.75" customHeight="1" x14ac:dyDescent="0.35"/>
    <row r="5" spans="3:4" ht="12.75" customHeight="1" x14ac:dyDescent="0.35">
      <c r="D5" s="97" t="s">
        <v>4601</v>
      </c>
    </row>
    <row r="6" spans="3:4" ht="12.75" customHeight="1" x14ac:dyDescent="0.35">
      <c r="D6" s="97" t="s">
        <v>4602</v>
      </c>
    </row>
    <row r="7" spans="3:4" ht="12.75" customHeight="1" x14ac:dyDescent="0.35">
      <c r="D7" s="101" t="s">
        <v>4603</v>
      </c>
    </row>
    <row r="8" spans="3:4" ht="12.75" customHeight="1" x14ac:dyDescent="0.35"/>
    <row r="9" spans="3:4" ht="12.75" customHeight="1" x14ac:dyDescent="0.35"/>
    <row r="10" spans="3:4" ht="12.75" customHeight="1" x14ac:dyDescent="0.35"/>
    <row r="11" spans="3:4" ht="12.75" customHeight="1" x14ac:dyDescent="0.35"/>
    <row r="12" spans="3:4" ht="12.75" customHeight="1" x14ac:dyDescent="0.35"/>
    <row r="13" spans="3:4" ht="12.75" customHeight="1" x14ac:dyDescent="0.35"/>
    <row r="14" spans="3:4" ht="12.75" customHeight="1" x14ac:dyDescent="0.35"/>
    <row r="15" spans="3:4" ht="12.75" customHeight="1" x14ac:dyDescent="0.35"/>
    <row r="16" spans="3:4"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spans="3:4" ht="12.75" customHeight="1" x14ac:dyDescent="0.35"/>
    <row r="34" spans="3:4" ht="12.75" customHeight="1" x14ac:dyDescent="0.35"/>
    <row r="35" spans="3:4" ht="12.75" customHeight="1" x14ac:dyDescent="0.35"/>
    <row r="36" spans="3:4" ht="12.75" customHeight="1" x14ac:dyDescent="0.35"/>
    <row r="37" spans="3:4" ht="12.75" customHeight="1" x14ac:dyDescent="0.35"/>
    <row r="38" spans="3:4" ht="12.75" customHeight="1" x14ac:dyDescent="0.35"/>
    <row r="39" spans="3:4" ht="12.75" customHeight="1" x14ac:dyDescent="0.35"/>
    <row r="40" spans="3:4" ht="12.75" customHeight="1" x14ac:dyDescent="0.35"/>
    <row r="41" spans="3:4" ht="12.75" customHeight="1" x14ac:dyDescent="0.35"/>
    <row r="42" spans="3:4" ht="12.75" customHeight="1" x14ac:dyDescent="0.35"/>
    <row r="43" spans="3:4" ht="12.75" customHeight="1" x14ac:dyDescent="0.35"/>
    <row r="44" spans="3:4" ht="12.75" customHeight="1" x14ac:dyDescent="0.35">
      <c r="C44" s="97" t="s">
        <v>4604</v>
      </c>
    </row>
    <row r="45" spans="3:4" ht="12.75" customHeight="1" x14ac:dyDescent="0.35"/>
    <row r="46" spans="3:4" ht="12.75" customHeight="1" x14ac:dyDescent="0.35">
      <c r="D46" s="97" t="str">
        <f>" Inversión total, "&amp;IF(Figures&gt;1,Figures&amp;" ","")&amp;Currency</f>
        <v xml:space="preserve"> Inversión total, Euro</v>
      </c>
    </row>
    <row r="47" spans="3:4" ht="12.75" customHeight="1" x14ac:dyDescent="0.35"/>
    <row r="48" spans="3:4"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spans="4:4" ht="12.75" customHeight="1" x14ac:dyDescent="0.35"/>
    <row r="66" spans="4:4" ht="12.75" customHeight="1" x14ac:dyDescent="0.35"/>
    <row r="67" spans="4:4" ht="12.75" customHeight="1" x14ac:dyDescent="0.35"/>
    <row r="68" spans="4:4" ht="12.75" customHeight="1" x14ac:dyDescent="0.35"/>
    <row r="69" spans="4:4" ht="12.75" customHeight="1" x14ac:dyDescent="0.35"/>
    <row r="70" spans="4:4" ht="12.75" customHeight="1" x14ac:dyDescent="0.35"/>
    <row r="71" spans="4:4" ht="12.75" customHeight="1" x14ac:dyDescent="0.35"/>
    <row r="72" spans="4:4" ht="12.75" customHeight="1" x14ac:dyDescent="0.35"/>
    <row r="73" spans="4:4" ht="12.75" customHeight="1" x14ac:dyDescent="0.35"/>
    <row r="74" spans="4:4" ht="12.75" customHeight="1" x14ac:dyDescent="0.35"/>
    <row r="75" spans="4:4" ht="12.75" customHeight="1" x14ac:dyDescent="0.35"/>
    <row r="76" spans="4:4" ht="12.75" customHeight="1" x14ac:dyDescent="0.35"/>
    <row r="77" spans="4:4" ht="12.75" customHeight="1" x14ac:dyDescent="0.35"/>
    <row r="78" spans="4:4" ht="12.75" customHeight="1" x14ac:dyDescent="0.35">
      <c r="D78" s="97" t="s">
        <v>4605</v>
      </c>
    </row>
    <row r="79" spans="4:4" ht="12.75" customHeight="1" x14ac:dyDescent="0.35"/>
    <row r="80" spans="4:4" ht="12.75" customHeight="1" x14ac:dyDescent="0.35"/>
    <row r="81" spans="3:4" ht="12.75" customHeight="1" x14ac:dyDescent="0.35"/>
    <row r="82" spans="3:4" ht="12.75" customHeight="1" x14ac:dyDescent="0.35"/>
    <row r="83" spans="3:4" ht="12.75" customHeight="1" x14ac:dyDescent="0.35"/>
    <row r="84" spans="3:4" ht="12.75" customHeight="1" x14ac:dyDescent="0.35"/>
    <row r="85" spans="3:4" ht="12.75" customHeight="1" x14ac:dyDescent="0.35"/>
    <row r="86" spans="3:4" ht="12.75" customHeight="1" x14ac:dyDescent="0.35"/>
    <row r="87" spans="3:4" ht="12.75" customHeight="1" x14ac:dyDescent="0.35"/>
    <row r="88" spans="3:4" ht="12.75" customHeight="1" x14ac:dyDescent="0.35"/>
    <row r="89" spans="3:4" ht="12.75" customHeight="1" x14ac:dyDescent="0.35">
      <c r="C89" s="97" t="s">
        <v>4606</v>
      </c>
    </row>
    <row r="90" spans="3:4" ht="12.75" customHeight="1" x14ac:dyDescent="0.35"/>
    <row r="91" spans="3:4" ht="12.75" customHeight="1" x14ac:dyDescent="0.35">
      <c r="D91" s="97" t="s">
        <v>4607</v>
      </c>
    </row>
    <row r="92" spans="3:4" ht="12.75" customHeight="1" x14ac:dyDescent="0.35"/>
    <row r="93" spans="3:4" ht="12.75" customHeight="1" x14ac:dyDescent="0.35"/>
    <row r="94" spans="3:4" ht="12.75" customHeight="1" x14ac:dyDescent="0.35"/>
    <row r="95" spans="3:4" ht="12.75" customHeight="1" x14ac:dyDescent="0.35"/>
    <row r="96" spans="3:4"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spans="3:4" ht="12.75" customHeight="1" x14ac:dyDescent="0.35"/>
    <row r="130" spans="3:4" ht="12.75" customHeight="1" x14ac:dyDescent="0.35"/>
    <row r="131" spans="3:4" ht="12.75" customHeight="1" x14ac:dyDescent="0.35"/>
    <row r="132" spans="3:4" ht="12.75" customHeight="1" x14ac:dyDescent="0.35"/>
    <row r="133" spans="3:4" ht="12.75" customHeight="1" x14ac:dyDescent="0.35">
      <c r="C133" s="97" t="s">
        <v>4608</v>
      </c>
    </row>
    <row r="134" spans="3:4" ht="12.75" customHeight="1" x14ac:dyDescent="0.35"/>
    <row r="135" spans="3:4" ht="12.75" customHeight="1" x14ac:dyDescent="0.35">
      <c r="D135" s="97" t="s">
        <v>4609</v>
      </c>
    </row>
    <row r="136" spans="3:4" ht="12.75" customHeight="1" x14ac:dyDescent="0.35"/>
    <row r="137" spans="3:4" ht="12.75" customHeight="1" x14ac:dyDescent="0.35"/>
    <row r="138" spans="3:4" ht="12.75" customHeight="1" x14ac:dyDescent="0.35"/>
    <row r="139" spans="3:4" ht="12.75" customHeight="1" x14ac:dyDescent="0.35"/>
    <row r="140" spans="3:4" ht="12.75" customHeight="1" x14ac:dyDescent="0.35"/>
    <row r="141" spans="3:4" ht="12.75" customHeight="1" x14ac:dyDescent="0.35"/>
    <row r="142" spans="3:4" ht="12.75" customHeight="1" x14ac:dyDescent="0.35"/>
    <row r="143" spans="3:4" ht="12.75" customHeight="1" x14ac:dyDescent="0.35"/>
    <row r="144" spans="3: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spans="3:4" ht="12.75" customHeight="1" x14ac:dyDescent="0.35">
      <c r="C177" s="97" t="s">
        <v>4610</v>
      </c>
    </row>
    <row r="178" spans="3:4" ht="12.75" customHeight="1" x14ac:dyDescent="0.35"/>
    <row r="179" spans="3:4" ht="12.75" customHeight="1" x14ac:dyDescent="0.35">
      <c r="D179" s="97" t="s">
        <v>4611</v>
      </c>
    </row>
    <row r="180" spans="3:4" ht="12.75" customHeight="1" x14ac:dyDescent="0.35"/>
    <row r="181" spans="3:4" ht="12.75" customHeight="1" x14ac:dyDescent="0.35"/>
    <row r="182" spans="3:4" ht="12.75" customHeight="1" x14ac:dyDescent="0.35"/>
    <row r="183" spans="3:4" ht="12.75" customHeight="1" x14ac:dyDescent="0.35"/>
    <row r="184" spans="3:4" ht="12.75" customHeight="1" x14ac:dyDescent="0.35"/>
    <row r="185" spans="3:4" ht="12.75" customHeight="1" x14ac:dyDescent="0.35"/>
    <row r="186" spans="3:4" ht="12.75" customHeight="1" x14ac:dyDescent="0.35"/>
    <row r="187" spans="3:4" ht="12.75" customHeight="1" x14ac:dyDescent="0.35"/>
    <row r="188" spans="3:4" ht="12.75" customHeight="1" x14ac:dyDescent="0.35"/>
    <row r="189" spans="3:4" ht="12.75" customHeight="1" x14ac:dyDescent="0.35"/>
    <row r="190" spans="3:4" ht="12.75" customHeight="1" x14ac:dyDescent="0.35"/>
    <row r="191" spans="3:4" ht="12.75" customHeight="1" x14ac:dyDescent="0.35"/>
    <row r="192" spans="3:4"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97" t="s">
        <v>5462</v>
      </c>
    </row>
    <row r="222" spans="3:4" ht="12.75" customHeight="1" x14ac:dyDescent="0.35"/>
    <row r="223" spans="3:4" ht="12.75" customHeight="1" x14ac:dyDescent="0.35">
      <c r="D223" s="97" t="s">
        <v>1943</v>
      </c>
    </row>
    <row r="224" spans="3:4" x14ac:dyDescent="0.35">
      <c r="D224" s="97" t="s">
        <v>4612</v>
      </c>
    </row>
    <row r="225" spans="4:4" x14ac:dyDescent="0.35">
      <c r="D225" s="97" t="s">
        <v>4613</v>
      </c>
    </row>
  </sheetData>
  <printOptions gridLines="1"/>
  <pageMargins left="0.75" right="0.75" top="1" bottom="1" header="0.5" footer="0.5"/>
  <pageSetup paperSize="9" orientation="portrait" r:id="rId1"/>
  <headerFooter>
    <oddHeader>&amp;C&amp;A</oddHeader>
    <oddFooter>&amp;CPage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8">
    <pageSetUpPr autoPageBreaks="0"/>
  </sheetPr>
  <dimension ref="A1:D225"/>
  <sheetViews>
    <sheetView topLeftCell="A197" workbookViewId="0">
      <selection activeCell="C221" sqref="C221"/>
    </sheetView>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c r="C3" s="97" t="s">
        <v>4614</v>
      </c>
    </row>
    <row r="4" spans="1:4" ht="12.75" customHeight="1" x14ac:dyDescent="0.35">
      <c r="A4"/>
      <c r="B4"/>
    </row>
    <row r="5" spans="1:4" ht="12.75" customHeight="1" x14ac:dyDescent="0.35">
      <c r="A5"/>
      <c r="B5" s="101"/>
      <c r="D5" s="97" t="s">
        <v>4615</v>
      </c>
    </row>
    <row r="6" spans="1:4" ht="12.75" customHeight="1" x14ac:dyDescent="0.35">
      <c r="A6"/>
      <c r="B6"/>
      <c r="D6" s="97" t="s">
        <v>4616</v>
      </c>
    </row>
    <row r="7" spans="1:4" ht="12.75" customHeight="1" x14ac:dyDescent="0.35">
      <c r="A7"/>
      <c r="B7"/>
      <c r="D7" s="97" t="s">
        <v>4527</v>
      </c>
    </row>
    <row r="8" spans="1:4" ht="12.75" customHeight="1" x14ac:dyDescent="0.35">
      <c r="A8"/>
      <c r="B8"/>
    </row>
    <row r="9" spans="1:4" ht="12.75" customHeight="1" x14ac:dyDescent="0.35">
      <c r="A9"/>
      <c r="B9"/>
    </row>
    <row r="10" spans="1:4" ht="12.75" customHeight="1" x14ac:dyDescent="0.35">
      <c r="A10"/>
      <c r="B10"/>
    </row>
    <row r="11" spans="1:4" ht="12.75" customHeight="1" x14ac:dyDescent="0.35">
      <c r="A11"/>
      <c r="B11"/>
    </row>
    <row r="12" spans="1:4" ht="12.75" customHeight="1" x14ac:dyDescent="0.35">
      <c r="A12"/>
      <c r="B12"/>
    </row>
    <row r="13" spans="1:4" ht="12.75" customHeight="1" x14ac:dyDescent="0.35">
      <c r="A13"/>
      <c r="B13"/>
    </row>
    <row r="14" spans="1:4" ht="12.75" customHeight="1" x14ac:dyDescent="0.35">
      <c r="A14"/>
      <c r="B14"/>
    </row>
    <row r="15" spans="1:4" ht="12.75" customHeight="1" x14ac:dyDescent="0.35">
      <c r="A15"/>
      <c r="B15"/>
    </row>
    <row r="16" spans="1:4" ht="12.75" customHeight="1" x14ac:dyDescent="0.35">
      <c r="A16"/>
      <c r="B16"/>
    </row>
    <row r="17" spans="1:2" ht="12.75" customHeight="1" x14ac:dyDescent="0.35">
      <c r="A17"/>
      <c r="B17"/>
    </row>
    <row r="18" spans="1:2" ht="12.75" customHeight="1" x14ac:dyDescent="0.35">
      <c r="A18"/>
      <c r="B18"/>
    </row>
    <row r="19" spans="1:2" ht="12.75" customHeight="1" x14ac:dyDescent="0.35">
      <c r="A19"/>
      <c r="B19"/>
    </row>
    <row r="20" spans="1:2" ht="12.75" customHeight="1" x14ac:dyDescent="0.35">
      <c r="A20"/>
      <c r="B20"/>
    </row>
    <row r="21" spans="1:2" ht="12.75" customHeight="1" x14ac:dyDescent="0.35">
      <c r="A21"/>
      <c r="B21"/>
    </row>
    <row r="22" spans="1:2" ht="12.75" customHeight="1" x14ac:dyDescent="0.35">
      <c r="A22"/>
      <c r="B22"/>
    </row>
    <row r="23" spans="1:2" ht="12.75" customHeight="1" x14ac:dyDescent="0.35">
      <c r="A23"/>
      <c r="B23"/>
    </row>
    <row r="24" spans="1:2" ht="12.75" customHeight="1" x14ac:dyDescent="0.35">
      <c r="A24"/>
      <c r="B24"/>
    </row>
    <row r="25" spans="1:2" ht="12.75" customHeight="1" x14ac:dyDescent="0.35">
      <c r="A25"/>
      <c r="B25"/>
    </row>
    <row r="26" spans="1:2" ht="12.75" customHeight="1" x14ac:dyDescent="0.35">
      <c r="A26"/>
      <c r="B26"/>
    </row>
    <row r="27" spans="1:2" ht="12.75" customHeight="1" x14ac:dyDescent="0.35">
      <c r="A27"/>
      <c r="B27"/>
    </row>
    <row r="28" spans="1:2" ht="12.75" customHeight="1" x14ac:dyDescent="0.35">
      <c r="A28"/>
      <c r="B28"/>
    </row>
    <row r="29" spans="1:2" ht="12.75" customHeight="1" x14ac:dyDescent="0.35">
      <c r="A29"/>
      <c r="B29"/>
    </row>
    <row r="30" spans="1:2" ht="12.75" customHeight="1" x14ac:dyDescent="0.35">
      <c r="A30"/>
      <c r="B30"/>
    </row>
    <row r="31" spans="1:2" ht="12.75" customHeight="1" x14ac:dyDescent="0.35">
      <c r="A31"/>
      <c r="B31"/>
    </row>
    <row r="32" spans="1:2" ht="12.75" customHeight="1" x14ac:dyDescent="0.35">
      <c r="A32"/>
      <c r="B32"/>
    </row>
    <row r="33" spans="1:4" ht="12.75" customHeight="1" x14ac:dyDescent="0.35">
      <c r="A33"/>
      <c r="B33"/>
    </row>
    <row r="34" spans="1:4" ht="12.75" customHeight="1" x14ac:dyDescent="0.35">
      <c r="A34"/>
      <c r="B34"/>
    </row>
    <row r="35" spans="1:4" ht="12.75" customHeight="1" x14ac:dyDescent="0.35">
      <c r="A35"/>
      <c r="B35"/>
    </row>
    <row r="36" spans="1:4" ht="12.75" customHeight="1" x14ac:dyDescent="0.35">
      <c r="A36"/>
      <c r="B36"/>
    </row>
    <row r="37" spans="1:4" ht="12.75" customHeight="1" x14ac:dyDescent="0.35">
      <c r="A37"/>
      <c r="B37"/>
    </row>
    <row r="38" spans="1:4" ht="12.75" customHeight="1" x14ac:dyDescent="0.35">
      <c r="A38"/>
      <c r="B38"/>
    </row>
    <row r="39" spans="1:4" ht="12.75" customHeight="1" x14ac:dyDescent="0.35">
      <c r="A39"/>
      <c r="B39"/>
    </row>
    <row r="40" spans="1:4" ht="12.75" customHeight="1" x14ac:dyDescent="0.35">
      <c r="A40"/>
      <c r="B40"/>
    </row>
    <row r="41" spans="1:4" ht="12.75" customHeight="1" x14ac:dyDescent="0.35">
      <c r="A41"/>
      <c r="B41"/>
    </row>
    <row r="42" spans="1:4" ht="12.75" customHeight="1" x14ac:dyDescent="0.35">
      <c r="A42"/>
      <c r="B42"/>
    </row>
    <row r="43" spans="1:4" ht="12.75" customHeight="1" x14ac:dyDescent="0.35">
      <c r="A43"/>
      <c r="B43"/>
    </row>
    <row r="44" spans="1:4" ht="12.75" customHeight="1" x14ac:dyDescent="0.35">
      <c r="A44"/>
      <c r="B44"/>
      <c r="C44" s="97" t="s">
        <v>4617</v>
      </c>
    </row>
    <row r="45" spans="1:4" ht="12.75" customHeight="1" x14ac:dyDescent="0.35">
      <c r="A45"/>
      <c r="B45"/>
    </row>
    <row r="46" spans="1:4" ht="12.75" customHeight="1" x14ac:dyDescent="0.35">
      <c r="A46"/>
      <c r="B46"/>
      <c r="D46" s="97" t="str">
        <f>"Итого инвестиций, "&amp;IF(Figures&gt;1,Figures&amp;" ","")&amp;Currency</f>
        <v>Итого инвестиций, Euro</v>
      </c>
    </row>
    <row r="47" spans="1:4" ht="12.75" customHeight="1" x14ac:dyDescent="0.35">
      <c r="A47"/>
      <c r="B47"/>
    </row>
    <row r="48" spans="1:4" ht="12.75" customHeight="1" x14ac:dyDescent="0.35">
      <c r="A48"/>
      <c r="B48"/>
    </row>
    <row r="49" spans="1:2" ht="12.75" customHeight="1" x14ac:dyDescent="0.35">
      <c r="A49"/>
      <c r="B49"/>
    </row>
    <row r="50" spans="1:2" ht="12.75" customHeight="1" x14ac:dyDescent="0.35">
      <c r="A50"/>
      <c r="B50"/>
    </row>
    <row r="51" spans="1:2" ht="12.75" customHeight="1" x14ac:dyDescent="0.35">
      <c r="A51"/>
      <c r="B51"/>
    </row>
    <row r="52" spans="1:2" ht="12.75" customHeight="1" x14ac:dyDescent="0.35">
      <c r="A52"/>
      <c r="B52"/>
    </row>
    <row r="53" spans="1:2" ht="12.75" customHeight="1" x14ac:dyDescent="0.35">
      <c r="A53"/>
      <c r="B53"/>
    </row>
    <row r="54" spans="1:2" ht="12.75" customHeight="1" x14ac:dyDescent="0.35">
      <c r="A54"/>
      <c r="B54"/>
    </row>
    <row r="55" spans="1:2" ht="12.75" customHeight="1" x14ac:dyDescent="0.35">
      <c r="A55"/>
      <c r="B55"/>
    </row>
    <row r="56" spans="1:2" ht="12.75" customHeight="1" x14ac:dyDescent="0.35">
      <c r="A56"/>
      <c r="B56"/>
    </row>
    <row r="57" spans="1:2" ht="12.75" customHeight="1" x14ac:dyDescent="0.35">
      <c r="A57"/>
      <c r="B57"/>
    </row>
    <row r="58" spans="1:2" ht="12.75" customHeight="1" x14ac:dyDescent="0.35">
      <c r="A58"/>
      <c r="B58"/>
    </row>
    <row r="59" spans="1:2" ht="12.75" customHeight="1" x14ac:dyDescent="0.35">
      <c r="A59"/>
      <c r="B59"/>
    </row>
    <row r="60" spans="1:2" ht="12.75" customHeight="1" x14ac:dyDescent="0.35">
      <c r="A60"/>
      <c r="B60"/>
    </row>
    <row r="61" spans="1:2" ht="12.75" customHeight="1" x14ac:dyDescent="0.35">
      <c r="A61"/>
      <c r="B61"/>
    </row>
    <row r="62" spans="1:2" ht="12.75" customHeight="1" x14ac:dyDescent="0.35">
      <c r="A62"/>
      <c r="B62"/>
    </row>
    <row r="63" spans="1:2" ht="12.75" customHeight="1" x14ac:dyDescent="0.35">
      <c r="A63"/>
      <c r="B63"/>
    </row>
    <row r="64" spans="1:2" ht="12.75" customHeight="1" x14ac:dyDescent="0.35">
      <c r="A64"/>
      <c r="B64"/>
    </row>
    <row r="65" spans="1:4" ht="12.75" customHeight="1" x14ac:dyDescent="0.35">
      <c r="A65"/>
      <c r="B65"/>
    </row>
    <row r="66" spans="1:4" ht="12.75" customHeight="1" x14ac:dyDescent="0.35">
      <c r="A66"/>
      <c r="B66"/>
    </row>
    <row r="67" spans="1:4" ht="12.75" customHeight="1" x14ac:dyDescent="0.35">
      <c r="A67"/>
      <c r="B67"/>
    </row>
    <row r="68" spans="1:4" ht="12.75" customHeight="1" x14ac:dyDescent="0.35">
      <c r="A68"/>
      <c r="B68"/>
    </row>
    <row r="69" spans="1:4" ht="12.75" customHeight="1" x14ac:dyDescent="0.35">
      <c r="A69"/>
      <c r="B69"/>
    </row>
    <row r="70" spans="1:4" ht="12.75" customHeight="1" x14ac:dyDescent="0.35">
      <c r="A70"/>
      <c r="B70"/>
    </row>
    <row r="71" spans="1:4" ht="12.75" customHeight="1" x14ac:dyDescent="0.35">
      <c r="A71"/>
      <c r="B71"/>
    </row>
    <row r="72" spans="1:4" ht="12.75" customHeight="1" x14ac:dyDescent="0.35">
      <c r="A72"/>
      <c r="B72"/>
    </row>
    <row r="73" spans="1:4" ht="12.75" customHeight="1" x14ac:dyDescent="0.35">
      <c r="A73"/>
      <c r="B73"/>
    </row>
    <row r="74" spans="1:4" ht="12.75" customHeight="1" x14ac:dyDescent="0.35">
      <c r="A74"/>
      <c r="B74"/>
    </row>
    <row r="75" spans="1:4" ht="12.75" customHeight="1" x14ac:dyDescent="0.35">
      <c r="A75"/>
      <c r="B75"/>
    </row>
    <row r="76" spans="1:4" ht="12.75" customHeight="1" x14ac:dyDescent="0.35">
      <c r="A76"/>
      <c r="B76"/>
    </row>
    <row r="77" spans="1:4" ht="12.75" customHeight="1" x14ac:dyDescent="0.35">
      <c r="A77"/>
      <c r="B77"/>
    </row>
    <row r="78" spans="1:4" ht="12.75" customHeight="1" x14ac:dyDescent="0.35">
      <c r="A78"/>
      <c r="B78"/>
      <c r="D78" s="97" t="s">
        <v>4618</v>
      </c>
    </row>
    <row r="79" spans="1:4" ht="12.75" customHeight="1" x14ac:dyDescent="0.35">
      <c r="A79"/>
      <c r="B79"/>
    </row>
    <row r="80" spans="1:4" ht="12.75" customHeight="1" x14ac:dyDescent="0.35">
      <c r="A80"/>
      <c r="B80"/>
    </row>
    <row r="81" spans="1:4" ht="12.75" customHeight="1" x14ac:dyDescent="0.35">
      <c r="A81"/>
      <c r="B81"/>
    </row>
    <row r="82" spans="1:4" ht="12.75" customHeight="1" x14ac:dyDescent="0.35">
      <c r="A82"/>
      <c r="B82"/>
    </row>
    <row r="83" spans="1:4" ht="12.75" customHeight="1" x14ac:dyDescent="0.35">
      <c r="A83"/>
      <c r="B83"/>
    </row>
    <row r="84" spans="1:4" ht="12.75" customHeight="1" x14ac:dyDescent="0.35">
      <c r="A84"/>
      <c r="B84"/>
    </row>
    <row r="85" spans="1:4" ht="12.75" customHeight="1" x14ac:dyDescent="0.35">
      <c r="A85"/>
      <c r="B85"/>
    </row>
    <row r="86" spans="1:4" ht="12.75" customHeight="1" x14ac:dyDescent="0.35">
      <c r="A86"/>
      <c r="B86"/>
    </row>
    <row r="87" spans="1:4" ht="12.75" customHeight="1" x14ac:dyDescent="0.35">
      <c r="A87"/>
      <c r="B87"/>
    </row>
    <row r="88" spans="1:4" ht="12.75" customHeight="1" x14ac:dyDescent="0.35">
      <c r="A88"/>
      <c r="B88"/>
    </row>
    <row r="89" spans="1:4" ht="12.75" customHeight="1" x14ac:dyDescent="0.35">
      <c r="A89"/>
      <c r="B89"/>
      <c r="C89" s="97" t="s">
        <v>4619</v>
      </c>
    </row>
    <row r="90" spans="1:4" ht="12.75" customHeight="1" x14ac:dyDescent="0.35">
      <c r="A90"/>
      <c r="B90"/>
    </row>
    <row r="91" spans="1:4" ht="12.75" customHeight="1" x14ac:dyDescent="0.35">
      <c r="A91"/>
      <c r="B91"/>
      <c r="D91" s="97" t="s">
        <v>4620</v>
      </c>
    </row>
    <row r="92" spans="1:4" ht="12.75" customHeight="1" x14ac:dyDescent="0.35">
      <c r="A92"/>
      <c r="B92"/>
    </row>
    <row r="93" spans="1:4" ht="12.75" customHeight="1" x14ac:dyDescent="0.35">
      <c r="A93"/>
      <c r="B93"/>
    </row>
    <row r="94" spans="1:4" ht="12.75" customHeight="1" x14ac:dyDescent="0.35">
      <c r="A94"/>
      <c r="B94"/>
    </row>
    <row r="95" spans="1:4" ht="12.75" customHeight="1" x14ac:dyDescent="0.35">
      <c r="A95"/>
      <c r="B95"/>
    </row>
    <row r="96" spans="1:4" ht="12.75" customHeight="1" x14ac:dyDescent="0.35">
      <c r="A96"/>
      <c r="B96"/>
    </row>
    <row r="97" spans="1:2" ht="12.75" customHeight="1" x14ac:dyDescent="0.35">
      <c r="A97"/>
      <c r="B97"/>
    </row>
    <row r="98" spans="1:2" ht="12.75" customHeight="1" x14ac:dyDescent="0.35">
      <c r="A98"/>
      <c r="B98"/>
    </row>
    <row r="99" spans="1:2" ht="12.75" customHeight="1" x14ac:dyDescent="0.35">
      <c r="A99"/>
      <c r="B99"/>
    </row>
    <row r="100" spans="1:2" ht="12.75" customHeight="1" x14ac:dyDescent="0.35">
      <c r="A100"/>
      <c r="B100"/>
    </row>
    <row r="101" spans="1:2" ht="12.75" customHeight="1" x14ac:dyDescent="0.35">
      <c r="A101"/>
      <c r="B101"/>
    </row>
    <row r="102" spans="1:2" ht="12.75" customHeight="1" x14ac:dyDescent="0.35">
      <c r="A102"/>
      <c r="B102"/>
    </row>
    <row r="103" spans="1:2" ht="12.75" customHeight="1" x14ac:dyDescent="0.35">
      <c r="A103"/>
      <c r="B103"/>
    </row>
    <row r="104" spans="1:2" ht="12.75" customHeight="1" x14ac:dyDescent="0.35">
      <c r="A104"/>
      <c r="B104"/>
    </row>
    <row r="105" spans="1:2" ht="12.75" customHeight="1" x14ac:dyDescent="0.35">
      <c r="A105"/>
      <c r="B105"/>
    </row>
    <row r="106" spans="1:2" ht="12.75" customHeight="1" x14ac:dyDescent="0.35">
      <c r="A106"/>
      <c r="B106"/>
    </row>
    <row r="107" spans="1:2" ht="12.75" customHeight="1" x14ac:dyDescent="0.35">
      <c r="A107"/>
      <c r="B107"/>
    </row>
    <row r="108" spans="1:2" ht="12.75" customHeight="1" x14ac:dyDescent="0.35">
      <c r="A108"/>
      <c r="B108"/>
    </row>
    <row r="109" spans="1:2" ht="12.75" customHeight="1" x14ac:dyDescent="0.35">
      <c r="A109"/>
      <c r="B109"/>
    </row>
    <row r="110" spans="1:2" ht="12.75" customHeight="1" x14ac:dyDescent="0.35">
      <c r="A110"/>
      <c r="B110"/>
    </row>
    <row r="111" spans="1:2" ht="12.75" customHeight="1" x14ac:dyDescent="0.35">
      <c r="A111"/>
      <c r="B111"/>
    </row>
    <row r="112" spans="1:2" ht="12.75" customHeight="1" x14ac:dyDescent="0.35">
      <c r="A112"/>
      <c r="B112"/>
    </row>
    <row r="113" spans="1:2" ht="12.75" customHeight="1" x14ac:dyDescent="0.35">
      <c r="A113"/>
      <c r="B113"/>
    </row>
    <row r="114" spans="1:2" ht="12.75" customHeight="1" x14ac:dyDescent="0.35">
      <c r="A114"/>
      <c r="B114"/>
    </row>
    <row r="115" spans="1:2" ht="12.75" customHeight="1" x14ac:dyDescent="0.35">
      <c r="A115"/>
      <c r="B115"/>
    </row>
    <row r="116" spans="1:2" ht="12.75" customHeight="1" x14ac:dyDescent="0.35">
      <c r="A116"/>
      <c r="B116"/>
    </row>
    <row r="117" spans="1:2" ht="12.75" customHeight="1" x14ac:dyDescent="0.35">
      <c r="A117"/>
      <c r="B117"/>
    </row>
    <row r="118" spans="1:2" ht="12.75" customHeight="1" x14ac:dyDescent="0.35">
      <c r="A118"/>
      <c r="B118"/>
    </row>
    <row r="119" spans="1:2" ht="12.75" customHeight="1" x14ac:dyDescent="0.35">
      <c r="A119"/>
      <c r="B119"/>
    </row>
    <row r="120" spans="1:2" ht="12.75" customHeight="1" x14ac:dyDescent="0.35">
      <c r="A120"/>
      <c r="B120"/>
    </row>
    <row r="121" spans="1:2" ht="12.75" customHeight="1" x14ac:dyDescent="0.35">
      <c r="A121"/>
      <c r="B121"/>
    </row>
    <row r="122" spans="1:2" ht="12.75" customHeight="1" x14ac:dyDescent="0.35">
      <c r="A122"/>
      <c r="B122"/>
    </row>
    <row r="123" spans="1:2" ht="12.75" customHeight="1" x14ac:dyDescent="0.35">
      <c r="A123"/>
      <c r="B123"/>
    </row>
    <row r="124" spans="1:2" ht="12.75" customHeight="1" x14ac:dyDescent="0.35">
      <c r="A124"/>
      <c r="B124"/>
    </row>
    <row r="125" spans="1:2" ht="12.75" customHeight="1" x14ac:dyDescent="0.35">
      <c r="A125"/>
      <c r="B125"/>
    </row>
    <row r="126" spans="1:2" ht="12.75" customHeight="1" x14ac:dyDescent="0.35">
      <c r="A126"/>
      <c r="B126"/>
    </row>
    <row r="127" spans="1:2" ht="12.75" customHeight="1" x14ac:dyDescent="0.35">
      <c r="A127"/>
      <c r="B127"/>
    </row>
    <row r="128" spans="1:2" ht="12.75" customHeight="1" x14ac:dyDescent="0.35">
      <c r="A128"/>
      <c r="B128"/>
    </row>
    <row r="129" spans="1:4" ht="12.75" customHeight="1" x14ac:dyDescent="0.35">
      <c r="A129"/>
      <c r="B129"/>
    </row>
    <row r="130" spans="1:4" ht="12.75" customHeight="1" x14ac:dyDescent="0.35">
      <c r="A130"/>
      <c r="B130"/>
    </row>
    <row r="131" spans="1:4" ht="12.75" customHeight="1" x14ac:dyDescent="0.35">
      <c r="A131"/>
      <c r="B131"/>
    </row>
    <row r="132" spans="1:4" ht="12.75" customHeight="1" x14ac:dyDescent="0.35">
      <c r="A132"/>
      <c r="B132"/>
    </row>
    <row r="133" spans="1:4" ht="12.75" customHeight="1" x14ac:dyDescent="0.35">
      <c r="A133"/>
      <c r="B133"/>
      <c r="C133" s="97" t="s">
        <v>4621</v>
      </c>
    </row>
    <row r="134" spans="1:4" ht="12.75" customHeight="1" x14ac:dyDescent="0.35">
      <c r="A134"/>
      <c r="B134"/>
    </row>
    <row r="135" spans="1:4" ht="12.75" customHeight="1" x14ac:dyDescent="0.35">
      <c r="A135"/>
      <c r="B135"/>
      <c r="D135" s="97" t="s">
        <v>4622</v>
      </c>
    </row>
    <row r="136" spans="1:4" ht="12.75" customHeight="1" x14ac:dyDescent="0.35">
      <c r="A136"/>
      <c r="B136"/>
    </row>
    <row r="137" spans="1:4" ht="12.75" customHeight="1" x14ac:dyDescent="0.35">
      <c r="A137"/>
      <c r="B137"/>
    </row>
    <row r="138" spans="1:4" ht="12.75" customHeight="1" x14ac:dyDescent="0.35">
      <c r="A138"/>
      <c r="B138"/>
    </row>
    <row r="139" spans="1:4" ht="12.75" customHeight="1" x14ac:dyDescent="0.35">
      <c r="A139"/>
      <c r="B139"/>
    </row>
    <row r="140" spans="1:4" ht="12.75" customHeight="1" x14ac:dyDescent="0.35">
      <c r="A140"/>
      <c r="B140"/>
    </row>
    <row r="141" spans="1:4" ht="12.75" customHeight="1" x14ac:dyDescent="0.35">
      <c r="A141"/>
      <c r="B141"/>
    </row>
    <row r="142" spans="1:4" ht="12.75" customHeight="1" x14ac:dyDescent="0.35">
      <c r="A142"/>
      <c r="B142"/>
    </row>
    <row r="143" spans="1:4" ht="12.75" customHeight="1" x14ac:dyDescent="0.35">
      <c r="A143"/>
      <c r="B143"/>
    </row>
    <row r="144" spans="1:4" ht="12.75" customHeight="1" x14ac:dyDescent="0.35">
      <c r="A144"/>
      <c r="B144"/>
    </row>
    <row r="145" spans="1:2" ht="12.75" customHeight="1" x14ac:dyDescent="0.35">
      <c r="A145"/>
      <c r="B145"/>
    </row>
    <row r="146" spans="1:2" ht="12.75" customHeight="1" x14ac:dyDescent="0.35">
      <c r="A146"/>
      <c r="B146"/>
    </row>
    <row r="147" spans="1:2" ht="12.75" customHeight="1" x14ac:dyDescent="0.35">
      <c r="A147"/>
      <c r="B147"/>
    </row>
    <row r="148" spans="1:2" ht="12.75" customHeight="1" x14ac:dyDescent="0.35">
      <c r="A148"/>
      <c r="B148"/>
    </row>
    <row r="149" spans="1:2" ht="12.75" customHeight="1" x14ac:dyDescent="0.35">
      <c r="A149"/>
      <c r="B149"/>
    </row>
    <row r="150" spans="1:2" ht="12.75" customHeight="1" x14ac:dyDescent="0.35">
      <c r="A150"/>
      <c r="B150"/>
    </row>
    <row r="151" spans="1:2" ht="12.75" customHeight="1" x14ac:dyDescent="0.35">
      <c r="A151"/>
      <c r="B151"/>
    </row>
    <row r="152" spans="1:2" ht="12.75" customHeight="1" x14ac:dyDescent="0.35">
      <c r="A152"/>
      <c r="B152"/>
    </row>
    <row r="153" spans="1:2" ht="12.75" customHeight="1" x14ac:dyDescent="0.35">
      <c r="A153"/>
      <c r="B153"/>
    </row>
    <row r="154" spans="1:2" ht="12.75" customHeight="1" x14ac:dyDescent="0.35">
      <c r="A154"/>
      <c r="B154"/>
    </row>
    <row r="155" spans="1:2" ht="12.75" customHeight="1" x14ac:dyDescent="0.35">
      <c r="A155"/>
      <c r="B155"/>
    </row>
    <row r="156" spans="1:2" ht="12.75" customHeight="1" x14ac:dyDescent="0.35">
      <c r="A156"/>
      <c r="B156"/>
    </row>
    <row r="157" spans="1:2" ht="12.75" customHeight="1" x14ac:dyDescent="0.35">
      <c r="A157"/>
      <c r="B157"/>
    </row>
    <row r="158" spans="1:2" ht="12.75" customHeight="1" x14ac:dyDescent="0.35">
      <c r="A158"/>
      <c r="B158"/>
    </row>
    <row r="159" spans="1:2" ht="12.75" customHeight="1" x14ac:dyDescent="0.35">
      <c r="A159"/>
      <c r="B159"/>
    </row>
    <row r="160" spans="1:2" ht="12.75" customHeight="1" x14ac:dyDescent="0.35">
      <c r="A160"/>
      <c r="B160"/>
    </row>
    <row r="161" spans="1:2" ht="12.75" customHeight="1" x14ac:dyDescent="0.35">
      <c r="A161"/>
      <c r="B161"/>
    </row>
    <row r="162" spans="1:2" ht="12.75" customHeight="1" x14ac:dyDescent="0.35">
      <c r="A162"/>
      <c r="B162"/>
    </row>
    <row r="163" spans="1:2" ht="12.75" customHeight="1" x14ac:dyDescent="0.35">
      <c r="A163"/>
      <c r="B163"/>
    </row>
    <row r="164" spans="1:2" ht="12.75" customHeight="1" x14ac:dyDescent="0.35">
      <c r="A164"/>
      <c r="B164"/>
    </row>
    <row r="165" spans="1:2" ht="12.75" customHeight="1" x14ac:dyDescent="0.35">
      <c r="A165"/>
      <c r="B165"/>
    </row>
    <row r="166" spans="1:2" ht="12.75" customHeight="1" x14ac:dyDescent="0.35">
      <c r="A166"/>
      <c r="B166"/>
    </row>
    <row r="167" spans="1:2" ht="12.75" customHeight="1" x14ac:dyDescent="0.35">
      <c r="A167"/>
      <c r="B167"/>
    </row>
    <row r="168" spans="1:2" ht="12.75" customHeight="1" x14ac:dyDescent="0.35">
      <c r="A168"/>
      <c r="B168"/>
    </row>
    <row r="169" spans="1:2" ht="12.75" customHeight="1" x14ac:dyDescent="0.35">
      <c r="A169"/>
      <c r="B169"/>
    </row>
    <row r="170" spans="1:2" ht="12.75" customHeight="1" x14ac:dyDescent="0.35">
      <c r="A170"/>
      <c r="B170"/>
    </row>
    <row r="171" spans="1:2" ht="12.75" customHeight="1" x14ac:dyDescent="0.35">
      <c r="A171"/>
      <c r="B171"/>
    </row>
    <row r="172" spans="1:2" ht="12.75" customHeight="1" x14ac:dyDescent="0.35">
      <c r="A172"/>
      <c r="B172"/>
    </row>
    <row r="173" spans="1:2" ht="12.75" customHeight="1" x14ac:dyDescent="0.35">
      <c r="A173"/>
      <c r="B173"/>
    </row>
    <row r="174" spans="1:2" ht="12.75" customHeight="1" x14ac:dyDescent="0.35">
      <c r="A174"/>
      <c r="B174"/>
    </row>
    <row r="175" spans="1:2" ht="12.75" customHeight="1" x14ac:dyDescent="0.35">
      <c r="A175"/>
      <c r="B175"/>
    </row>
    <row r="176" spans="1:2" ht="12.75" customHeight="1" x14ac:dyDescent="0.35">
      <c r="A176"/>
      <c r="B176"/>
    </row>
    <row r="177" spans="1:4" ht="12.75" customHeight="1" x14ac:dyDescent="0.35">
      <c r="A177"/>
      <c r="B177"/>
      <c r="C177" s="97" t="s">
        <v>4623</v>
      </c>
    </row>
    <row r="178" spans="1:4" ht="12.75" customHeight="1" x14ac:dyDescent="0.35">
      <c r="A178"/>
      <c r="B178"/>
    </row>
    <row r="179" spans="1:4" ht="12.75" customHeight="1" x14ac:dyDescent="0.35">
      <c r="A179"/>
      <c r="B179"/>
      <c r="D179" s="97" t="s">
        <v>4624</v>
      </c>
    </row>
    <row r="180" spans="1:4" ht="12.75" customHeight="1" x14ac:dyDescent="0.35">
      <c r="A180"/>
      <c r="B180"/>
    </row>
    <row r="181" spans="1:4" ht="12.75" customHeight="1" x14ac:dyDescent="0.35">
      <c r="A181"/>
      <c r="B181"/>
    </row>
    <row r="182" spans="1:4" ht="12.75" customHeight="1" x14ac:dyDescent="0.35">
      <c r="A182"/>
      <c r="B182"/>
    </row>
    <row r="183" spans="1:4" ht="12.75" customHeight="1" x14ac:dyDescent="0.35">
      <c r="A183"/>
      <c r="B183"/>
    </row>
    <row r="184" spans="1:4" ht="12.75" customHeight="1" x14ac:dyDescent="0.35">
      <c r="A184"/>
      <c r="B184"/>
    </row>
    <row r="185" spans="1:4" ht="12.75" customHeight="1" x14ac:dyDescent="0.35">
      <c r="A185"/>
      <c r="B185"/>
    </row>
    <row r="186" spans="1:4" ht="12.75" customHeight="1" x14ac:dyDescent="0.35">
      <c r="A186"/>
      <c r="B186"/>
    </row>
    <row r="187" spans="1:4" ht="12.75" customHeight="1" x14ac:dyDescent="0.35">
      <c r="A187"/>
      <c r="B187"/>
    </row>
    <row r="188" spans="1:4" ht="12.75" customHeight="1" x14ac:dyDescent="0.35">
      <c r="A188"/>
      <c r="B188"/>
    </row>
    <row r="189" spans="1:4" ht="12.75" customHeight="1" x14ac:dyDescent="0.35">
      <c r="A189"/>
      <c r="B189"/>
    </row>
    <row r="190" spans="1:4" ht="12.75" customHeight="1" x14ac:dyDescent="0.35">
      <c r="A190"/>
      <c r="B190"/>
    </row>
    <row r="191" spans="1:4" ht="12.75" customHeight="1" x14ac:dyDescent="0.35">
      <c r="A191"/>
      <c r="B191"/>
    </row>
    <row r="192" spans="1:4" ht="12.75" customHeight="1" x14ac:dyDescent="0.35">
      <c r="A192"/>
      <c r="B192"/>
    </row>
    <row r="193" spans="1:2" ht="12.75" customHeight="1" x14ac:dyDescent="0.35">
      <c r="A193"/>
      <c r="B193"/>
    </row>
    <row r="194" spans="1:2" ht="12.75" customHeight="1" x14ac:dyDescent="0.35">
      <c r="A194"/>
      <c r="B194"/>
    </row>
    <row r="195" spans="1:2" ht="12.75" customHeight="1" x14ac:dyDescent="0.35">
      <c r="A195"/>
      <c r="B195"/>
    </row>
    <row r="196" spans="1:2" ht="12.75" customHeight="1" x14ac:dyDescent="0.35">
      <c r="A196"/>
      <c r="B196"/>
    </row>
    <row r="197" spans="1:2" ht="12.75" customHeight="1" x14ac:dyDescent="0.35">
      <c r="A197"/>
      <c r="B197"/>
    </row>
    <row r="198" spans="1:2" ht="12.75" customHeight="1" x14ac:dyDescent="0.35">
      <c r="A198"/>
      <c r="B198"/>
    </row>
    <row r="199" spans="1:2" ht="12.75" customHeight="1" x14ac:dyDescent="0.35">
      <c r="A199"/>
      <c r="B199"/>
    </row>
    <row r="200" spans="1:2" ht="12.75" customHeight="1" x14ac:dyDescent="0.35">
      <c r="A200"/>
      <c r="B200"/>
    </row>
    <row r="201" spans="1:2" ht="12.75" customHeight="1" x14ac:dyDescent="0.35">
      <c r="A201"/>
      <c r="B201"/>
    </row>
    <row r="202" spans="1:2" ht="12.75" customHeight="1" x14ac:dyDescent="0.35">
      <c r="A202"/>
      <c r="B202"/>
    </row>
    <row r="203" spans="1:2" ht="12.75" customHeight="1" x14ac:dyDescent="0.35">
      <c r="A203"/>
      <c r="B203"/>
    </row>
    <row r="204" spans="1:2" ht="12.75" customHeight="1" x14ac:dyDescent="0.35">
      <c r="A204"/>
      <c r="B204"/>
    </row>
    <row r="205" spans="1:2" ht="12.75" customHeight="1" x14ac:dyDescent="0.35">
      <c r="A205"/>
      <c r="B205"/>
    </row>
    <row r="206" spans="1:2" ht="12.75" customHeight="1" x14ac:dyDescent="0.35">
      <c r="A206"/>
      <c r="B206"/>
    </row>
    <row r="207" spans="1:2" ht="12.75" customHeight="1" x14ac:dyDescent="0.35">
      <c r="A207"/>
      <c r="B207"/>
    </row>
    <row r="208" spans="1:2" ht="12.75" customHeight="1" x14ac:dyDescent="0.35">
      <c r="A208"/>
      <c r="B208"/>
    </row>
    <row r="209" spans="1:4" ht="12.75" customHeight="1" x14ac:dyDescent="0.35">
      <c r="A209"/>
      <c r="B209"/>
    </row>
    <row r="210" spans="1:4" ht="12.75" customHeight="1" x14ac:dyDescent="0.35">
      <c r="A210"/>
      <c r="B210"/>
    </row>
    <row r="211" spans="1:4" ht="12.75" customHeight="1" x14ac:dyDescent="0.35">
      <c r="A211"/>
      <c r="B211"/>
    </row>
    <row r="212" spans="1:4" ht="12.75" customHeight="1" x14ac:dyDescent="0.35">
      <c r="A212"/>
      <c r="B212"/>
    </row>
    <row r="213" spans="1:4" ht="12.75" customHeight="1" x14ac:dyDescent="0.35">
      <c r="A213"/>
      <c r="B213"/>
    </row>
    <row r="214" spans="1:4" ht="12.75" customHeight="1" x14ac:dyDescent="0.35">
      <c r="A214"/>
      <c r="B214"/>
    </row>
    <row r="215" spans="1:4" ht="12.75" customHeight="1" x14ac:dyDescent="0.35">
      <c r="A215"/>
      <c r="B215"/>
    </row>
    <row r="216" spans="1:4" ht="12.75" customHeight="1" x14ac:dyDescent="0.35">
      <c r="A216"/>
      <c r="B216"/>
    </row>
    <row r="217" spans="1:4" ht="12.75" customHeight="1" x14ac:dyDescent="0.35">
      <c r="A217"/>
      <c r="B217"/>
    </row>
    <row r="218" spans="1:4" ht="12.75" customHeight="1" x14ac:dyDescent="0.35">
      <c r="A218"/>
      <c r="B218"/>
    </row>
    <row r="219" spans="1:4" ht="12.75" customHeight="1" x14ac:dyDescent="0.35">
      <c r="A219"/>
      <c r="B219"/>
    </row>
    <row r="220" spans="1:4" ht="12.75" customHeight="1" x14ac:dyDescent="0.35">
      <c r="A220"/>
      <c r="B220"/>
    </row>
    <row r="221" spans="1:4" ht="12.75" customHeight="1" x14ac:dyDescent="0.35">
      <c r="A221"/>
      <c r="B221"/>
      <c r="C221" s="97" t="s">
        <v>4625</v>
      </c>
    </row>
    <row r="222" spans="1:4" ht="12.75" customHeight="1" x14ac:dyDescent="0.35">
      <c r="A222"/>
      <c r="B222"/>
    </row>
    <row r="223" spans="1:4" ht="12.75" customHeight="1" x14ac:dyDescent="0.35">
      <c r="A223"/>
      <c r="B223"/>
      <c r="D223" s="97" t="s">
        <v>2585</v>
      </c>
    </row>
    <row r="224" spans="1:4" ht="12.75" customHeight="1" x14ac:dyDescent="0.35">
      <c r="D224" s="97" t="s">
        <v>4626</v>
      </c>
    </row>
    <row r="225" spans="4:4" ht="12.75" customHeight="1" x14ac:dyDescent="0.35">
      <c r="D225" s="97" t="s">
        <v>4627</v>
      </c>
    </row>
  </sheetData>
  <printOptions gridLines="1"/>
  <pageMargins left="0.75" right="0.75" top="1" bottom="1" header="0.5" footer="0.5"/>
  <pageSetup paperSize="9" orientation="portrait" r:id="rId1"/>
  <headerFooter>
    <oddHeader>&amp;C&amp;A</oddHeader>
    <oddFooter>&amp;CPage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
    <tabColor rgb="FF92D050"/>
    <pageSetUpPr autoPageBreaks="0"/>
  </sheetPr>
  <dimension ref="C1:H225"/>
  <sheetViews>
    <sheetView workbookViewId="0">
      <selection activeCell="G89" sqref="G89"/>
    </sheetView>
  </sheetViews>
  <sheetFormatPr defaultColWidth="9.1796875" defaultRowHeight="14.5" x14ac:dyDescent="0.35"/>
  <cols>
    <col min="1" max="16384" width="9.1796875" style="1285"/>
  </cols>
  <sheetData>
    <row r="1" spans="3:4" ht="12.75" customHeight="1" x14ac:dyDescent="0.35"/>
    <row r="2" spans="3:4" ht="12.75" customHeight="1" x14ac:dyDescent="0.35"/>
    <row r="3" spans="3:4" ht="12.75" customHeight="1" x14ac:dyDescent="0.35">
      <c r="C3" s="1286" t="s">
        <v>4614</v>
      </c>
      <c r="D3" s="97" t="s">
        <v>5999</v>
      </c>
    </row>
    <row r="4" spans="3:4" ht="12.75" customHeight="1" x14ac:dyDescent="0.35"/>
    <row r="5" spans="3:4" ht="12.75" customHeight="1" x14ac:dyDescent="0.35">
      <c r="D5" s="220" t="s">
        <v>6000</v>
      </c>
    </row>
    <row r="6" spans="3:4" ht="12.75" customHeight="1" x14ac:dyDescent="0.35">
      <c r="D6" s="1286" t="s">
        <v>4616</v>
      </c>
    </row>
    <row r="7" spans="3:4" ht="12.75" customHeight="1" x14ac:dyDescent="0.35">
      <c r="D7" s="220" t="s">
        <v>6001</v>
      </c>
    </row>
    <row r="8" spans="3:4" ht="12.75" customHeight="1" x14ac:dyDescent="0.35"/>
    <row r="9" spans="3:4" ht="12.75" hidden="1" customHeight="1" x14ac:dyDescent="0.35"/>
    <row r="10" spans="3:4" ht="12.75" hidden="1" customHeight="1" x14ac:dyDescent="0.35"/>
    <row r="11" spans="3:4" ht="12.75" hidden="1" customHeight="1" x14ac:dyDescent="0.35"/>
    <row r="12" spans="3:4" ht="12.75" hidden="1" customHeight="1" x14ac:dyDescent="0.35"/>
    <row r="13" spans="3:4" ht="12.75" hidden="1" customHeight="1" x14ac:dyDescent="0.35"/>
    <row r="14" spans="3:4" ht="12.75" hidden="1" customHeight="1" x14ac:dyDescent="0.35"/>
    <row r="15" spans="3:4" ht="12.75" hidden="1" customHeight="1" x14ac:dyDescent="0.35"/>
    <row r="16" spans="3:4" ht="12.75" hidden="1" customHeight="1" x14ac:dyDescent="0.35"/>
    <row r="17" ht="12.75" hidden="1" customHeight="1" x14ac:dyDescent="0.35"/>
    <row r="18" ht="12.75" hidden="1" customHeight="1" x14ac:dyDescent="0.35"/>
    <row r="19" ht="12.75" hidden="1" customHeight="1" x14ac:dyDescent="0.35"/>
    <row r="20" ht="12.75" hidden="1" customHeight="1" x14ac:dyDescent="0.35"/>
    <row r="21" ht="12.75" hidden="1" customHeight="1" x14ac:dyDescent="0.35"/>
    <row r="22" ht="12.75" hidden="1" customHeight="1" x14ac:dyDescent="0.35"/>
    <row r="23" ht="12.75" hidden="1" customHeight="1" x14ac:dyDescent="0.35"/>
    <row r="24" ht="12.75" hidden="1" customHeight="1" x14ac:dyDescent="0.35"/>
    <row r="25" ht="12.75" hidden="1" customHeight="1" x14ac:dyDescent="0.35"/>
    <row r="26" ht="12.75" hidden="1" customHeight="1" x14ac:dyDescent="0.35"/>
    <row r="27" ht="12.75" hidden="1" customHeight="1" x14ac:dyDescent="0.35"/>
    <row r="28" ht="12.75" hidden="1" customHeight="1" x14ac:dyDescent="0.35"/>
    <row r="29" ht="12.75" hidden="1" customHeight="1" x14ac:dyDescent="0.35"/>
    <row r="30" ht="12.75" hidden="1" customHeight="1" x14ac:dyDescent="0.35"/>
    <row r="31" ht="12.75" hidden="1" customHeight="1" x14ac:dyDescent="0.35"/>
    <row r="32" ht="12.75" hidden="1" customHeight="1" x14ac:dyDescent="0.35"/>
    <row r="33" spans="3:4" ht="12.75" hidden="1" customHeight="1" x14ac:dyDescent="0.35"/>
    <row r="34" spans="3:4" ht="12.75" hidden="1" customHeight="1" x14ac:dyDescent="0.35"/>
    <row r="35" spans="3:4" ht="12.75" hidden="1" customHeight="1" x14ac:dyDescent="0.35"/>
    <row r="36" spans="3:4" ht="12.75" hidden="1" customHeight="1" x14ac:dyDescent="0.35"/>
    <row r="37" spans="3:4" ht="12.75" hidden="1" customHeight="1" x14ac:dyDescent="0.35"/>
    <row r="38" spans="3:4" ht="12.75" hidden="1" customHeight="1" x14ac:dyDescent="0.35"/>
    <row r="39" spans="3:4" ht="12.75" hidden="1" customHeight="1" x14ac:dyDescent="0.35"/>
    <row r="40" spans="3:4" ht="12.75" hidden="1" customHeight="1" x14ac:dyDescent="0.35"/>
    <row r="41" spans="3:4" ht="12.75" hidden="1" customHeight="1" x14ac:dyDescent="0.35"/>
    <row r="42" spans="3:4" ht="12.75" hidden="1" customHeight="1" x14ac:dyDescent="0.35"/>
    <row r="43" spans="3:4" ht="12.75" customHeight="1" x14ac:dyDescent="0.35"/>
    <row r="44" spans="3:4" ht="12.75" customHeight="1" x14ac:dyDescent="0.35">
      <c r="C44" s="220" t="s">
        <v>6002</v>
      </c>
    </row>
    <row r="45" spans="3:4" ht="12.75" customHeight="1" x14ac:dyDescent="0.35"/>
    <row r="46" spans="3:4" ht="12.75" customHeight="1" x14ac:dyDescent="0.35">
      <c r="D46" s="159" t="s">
        <v>6128</v>
      </c>
    </row>
    <row r="47" spans="3:4" ht="12.75" customHeight="1" x14ac:dyDescent="0.35"/>
    <row r="48" spans="3:4" ht="12.75" hidden="1" customHeight="1" x14ac:dyDescent="0.35"/>
    <row r="49" ht="12.75" hidden="1" customHeight="1" x14ac:dyDescent="0.35"/>
    <row r="50" ht="12.75" hidden="1" customHeight="1" x14ac:dyDescent="0.35"/>
    <row r="51" ht="12.75" hidden="1" customHeight="1" x14ac:dyDescent="0.35"/>
    <row r="52" ht="12.75" hidden="1" customHeight="1" x14ac:dyDescent="0.35"/>
    <row r="53" ht="12.75" hidden="1" customHeight="1" x14ac:dyDescent="0.35"/>
    <row r="54" ht="12.75" hidden="1" customHeight="1" x14ac:dyDescent="0.35"/>
    <row r="55" ht="12.75" hidden="1" customHeight="1" x14ac:dyDescent="0.35"/>
    <row r="56" ht="12.75" hidden="1" customHeight="1" x14ac:dyDescent="0.35"/>
    <row r="57" ht="12.75" hidden="1" customHeight="1" x14ac:dyDescent="0.35"/>
    <row r="58" ht="12.75" hidden="1" customHeight="1" x14ac:dyDescent="0.35"/>
    <row r="59" ht="12.75" hidden="1" customHeight="1" x14ac:dyDescent="0.35"/>
    <row r="60" ht="12.75" hidden="1" customHeight="1" x14ac:dyDescent="0.35"/>
    <row r="61" ht="12.75" hidden="1" customHeight="1" x14ac:dyDescent="0.35"/>
    <row r="62" ht="12.75" hidden="1" customHeight="1" x14ac:dyDescent="0.35"/>
    <row r="63" ht="12.75" hidden="1" customHeight="1" x14ac:dyDescent="0.35"/>
    <row r="64" ht="12.75" hidden="1" customHeight="1" x14ac:dyDescent="0.35"/>
    <row r="65" spans="4:6" ht="12.75" hidden="1" customHeight="1" x14ac:dyDescent="0.35"/>
    <row r="66" spans="4:6" ht="12.75" hidden="1" customHeight="1" x14ac:dyDescent="0.35"/>
    <row r="67" spans="4:6" ht="12.75" hidden="1" customHeight="1" x14ac:dyDescent="0.35"/>
    <row r="68" spans="4:6" ht="12.75" hidden="1" customHeight="1" x14ac:dyDescent="0.35"/>
    <row r="69" spans="4:6" ht="12.75" hidden="1" customHeight="1" x14ac:dyDescent="0.35"/>
    <row r="70" spans="4:6" ht="12.75" hidden="1" customHeight="1" x14ac:dyDescent="0.35"/>
    <row r="71" spans="4:6" ht="12.75" hidden="1" customHeight="1" x14ac:dyDescent="0.35"/>
    <row r="72" spans="4:6" ht="12.75" hidden="1" customHeight="1" x14ac:dyDescent="0.35"/>
    <row r="73" spans="4:6" ht="12.75" hidden="1" customHeight="1" x14ac:dyDescent="0.35"/>
    <row r="74" spans="4:6" ht="12.75" hidden="1" customHeight="1" x14ac:dyDescent="0.35"/>
    <row r="75" spans="4:6" ht="12.75" hidden="1" customHeight="1" x14ac:dyDescent="0.35"/>
    <row r="76" spans="4:6" ht="12.75" hidden="1" customHeight="1" x14ac:dyDescent="0.35"/>
    <row r="77" spans="4:6" ht="12.75" customHeight="1" x14ac:dyDescent="0.35"/>
    <row r="78" spans="4:6" ht="12.75" customHeight="1" x14ac:dyDescent="0.35">
      <c r="D78" s="1286" t="s">
        <v>4618</v>
      </c>
      <c r="F78" s="97" t="s">
        <v>6003</v>
      </c>
    </row>
    <row r="79" spans="4:6" ht="12.75" customHeight="1" x14ac:dyDescent="0.35"/>
    <row r="80" spans="4:6" ht="12.75" hidden="1" customHeight="1" x14ac:dyDescent="0.35"/>
    <row r="81" spans="3:7" ht="12.75" hidden="1" customHeight="1" x14ac:dyDescent="0.35"/>
    <row r="82" spans="3:7" ht="12.75" hidden="1" customHeight="1" x14ac:dyDescent="0.35"/>
    <row r="83" spans="3:7" ht="12.75" hidden="1" customHeight="1" x14ac:dyDescent="0.35"/>
    <row r="84" spans="3:7" ht="12.75" hidden="1" customHeight="1" x14ac:dyDescent="0.35"/>
    <row r="85" spans="3:7" ht="12.75" hidden="1" customHeight="1" x14ac:dyDescent="0.35"/>
    <row r="86" spans="3:7" ht="12.75" hidden="1" customHeight="1" x14ac:dyDescent="0.35"/>
    <row r="87" spans="3:7" ht="12.75" hidden="1" customHeight="1" x14ac:dyDescent="0.35"/>
    <row r="88" spans="3:7" ht="12.75" customHeight="1" x14ac:dyDescent="0.35"/>
    <row r="89" spans="3:7" ht="12.75" customHeight="1" x14ac:dyDescent="0.35">
      <c r="C89" s="1286" t="s">
        <v>4619</v>
      </c>
      <c r="G89" s="97"/>
    </row>
    <row r="90" spans="3:7" ht="12.75" customHeight="1" x14ac:dyDescent="0.35"/>
    <row r="91" spans="3:7" ht="12.75" customHeight="1" x14ac:dyDescent="0.35">
      <c r="D91" s="220" t="s">
        <v>6004</v>
      </c>
    </row>
    <row r="92" spans="3:7" ht="12.75" customHeight="1" x14ac:dyDescent="0.35"/>
    <row r="93" spans="3:7" ht="12.75" hidden="1" customHeight="1" x14ac:dyDescent="0.35"/>
    <row r="94" spans="3:7" ht="12.75" hidden="1" customHeight="1" x14ac:dyDescent="0.35"/>
    <row r="95" spans="3:7" ht="12.75" hidden="1" customHeight="1" x14ac:dyDescent="0.35"/>
    <row r="96" spans="3:7" ht="12.75" hidden="1" customHeight="1" x14ac:dyDescent="0.35"/>
    <row r="97" ht="12.75" hidden="1" customHeight="1" x14ac:dyDescent="0.35"/>
    <row r="98" ht="12.75" hidden="1" customHeight="1" x14ac:dyDescent="0.35"/>
    <row r="99" ht="12.75" hidden="1" customHeight="1" x14ac:dyDescent="0.35"/>
    <row r="100" ht="12.75" hidden="1" customHeight="1" x14ac:dyDescent="0.35"/>
    <row r="101" ht="12.75" hidden="1" customHeight="1" x14ac:dyDescent="0.35"/>
    <row r="102" ht="12.75" hidden="1" customHeight="1" x14ac:dyDescent="0.35"/>
    <row r="103" ht="12.75" hidden="1" customHeight="1" x14ac:dyDescent="0.35"/>
    <row r="104" ht="12.75" hidden="1" customHeight="1" x14ac:dyDescent="0.35"/>
    <row r="105" ht="12.75" hidden="1" customHeight="1" x14ac:dyDescent="0.35"/>
    <row r="106" ht="12.75" hidden="1" customHeight="1" x14ac:dyDescent="0.35"/>
    <row r="107" ht="12.75" hidden="1" customHeight="1" x14ac:dyDescent="0.35"/>
    <row r="108" ht="12.75" hidden="1" customHeight="1" x14ac:dyDescent="0.35"/>
    <row r="109" ht="12.75" hidden="1" customHeight="1" x14ac:dyDescent="0.35"/>
    <row r="110" ht="12.75" hidden="1" customHeight="1" x14ac:dyDescent="0.35"/>
    <row r="111" ht="12.75" hidden="1" customHeight="1" x14ac:dyDescent="0.35"/>
    <row r="112" ht="12.75" hidden="1" customHeight="1" x14ac:dyDescent="0.35"/>
    <row r="113" ht="12.75" hidden="1" customHeight="1" x14ac:dyDescent="0.35"/>
    <row r="114" ht="12.75" hidden="1" customHeight="1" x14ac:dyDescent="0.35"/>
    <row r="115" ht="12.75" hidden="1" customHeight="1" x14ac:dyDescent="0.35"/>
    <row r="116" ht="12.75" hidden="1" customHeight="1" x14ac:dyDescent="0.35"/>
    <row r="117" ht="12.75" hidden="1" customHeight="1" x14ac:dyDescent="0.35"/>
    <row r="118" ht="12.75" hidden="1" customHeight="1" x14ac:dyDescent="0.35"/>
    <row r="119" ht="12.75" hidden="1" customHeight="1" x14ac:dyDescent="0.35"/>
    <row r="120" ht="12.75" hidden="1" customHeight="1" x14ac:dyDescent="0.35"/>
    <row r="121" ht="12.75" hidden="1" customHeight="1" x14ac:dyDescent="0.35"/>
    <row r="122" ht="12.75" hidden="1" customHeight="1" x14ac:dyDescent="0.35"/>
    <row r="123" ht="12.75" hidden="1" customHeight="1" x14ac:dyDescent="0.35"/>
    <row r="124" ht="12.75" hidden="1" customHeight="1" x14ac:dyDescent="0.35"/>
    <row r="125" ht="12.75" hidden="1" customHeight="1" x14ac:dyDescent="0.35"/>
    <row r="126" ht="12.75" hidden="1" customHeight="1" x14ac:dyDescent="0.35"/>
    <row r="127" ht="12.75" hidden="1" customHeight="1" x14ac:dyDescent="0.35"/>
    <row r="128" ht="12.75" hidden="1" customHeight="1" x14ac:dyDescent="0.35"/>
    <row r="129" spans="3:8" ht="12.75" hidden="1" customHeight="1" x14ac:dyDescent="0.35"/>
    <row r="130" spans="3:8" ht="12.75" hidden="1" customHeight="1" x14ac:dyDescent="0.35"/>
    <row r="131" spans="3:8" ht="12.75" hidden="1" customHeight="1" x14ac:dyDescent="0.35"/>
    <row r="132" spans="3:8" ht="12.75" customHeight="1" x14ac:dyDescent="0.35"/>
    <row r="133" spans="3:8" ht="12.75" customHeight="1" x14ac:dyDescent="0.35">
      <c r="C133" s="220" t="s">
        <v>6005</v>
      </c>
    </row>
    <row r="134" spans="3:8" ht="12.75" customHeight="1" x14ac:dyDescent="0.35"/>
    <row r="135" spans="3:8" ht="12.75" customHeight="1" x14ac:dyDescent="0.35">
      <c r="D135" s="220" t="s">
        <v>6006</v>
      </c>
      <c r="H135" s="97"/>
    </row>
    <row r="136" spans="3:8" ht="12.75" customHeight="1" x14ac:dyDescent="0.35"/>
    <row r="137" spans="3:8" ht="12.75" hidden="1" customHeight="1" x14ac:dyDescent="0.35"/>
    <row r="138" spans="3:8" ht="12.75" hidden="1" customHeight="1" x14ac:dyDescent="0.35"/>
    <row r="139" spans="3:8" ht="12.75" hidden="1" customHeight="1" x14ac:dyDescent="0.35"/>
    <row r="140" spans="3:8" ht="12.75" hidden="1" customHeight="1" x14ac:dyDescent="0.35"/>
    <row r="141" spans="3:8" ht="12.75" hidden="1" customHeight="1" x14ac:dyDescent="0.35"/>
    <row r="142" spans="3:8" ht="12.75" hidden="1" customHeight="1" x14ac:dyDescent="0.35"/>
    <row r="143" spans="3:8" ht="12.75" hidden="1" customHeight="1" x14ac:dyDescent="0.35"/>
    <row r="144" spans="3:8" ht="12.75" hidden="1" customHeight="1" x14ac:dyDescent="0.35"/>
    <row r="145" ht="12.75" hidden="1" customHeight="1" x14ac:dyDescent="0.35"/>
    <row r="146" ht="12.75" hidden="1" customHeight="1" x14ac:dyDescent="0.35"/>
    <row r="147" ht="12.75" hidden="1" customHeight="1" x14ac:dyDescent="0.35"/>
    <row r="148" ht="12.75" hidden="1" customHeight="1" x14ac:dyDescent="0.35"/>
    <row r="149" ht="12.75" hidden="1" customHeight="1" x14ac:dyDescent="0.35"/>
    <row r="150" ht="12.75" hidden="1" customHeight="1" x14ac:dyDescent="0.35"/>
    <row r="151" ht="12.75" hidden="1" customHeight="1" x14ac:dyDescent="0.35"/>
    <row r="152" ht="12.75" hidden="1" customHeight="1" x14ac:dyDescent="0.35"/>
    <row r="153" ht="12.75" hidden="1" customHeight="1" x14ac:dyDescent="0.35"/>
    <row r="154" ht="12.75" hidden="1" customHeight="1" x14ac:dyDescent="0.35"/>
    <row r="155" ht="12.75" hidden="1" customHeight="1" x14ac:dyDescent="0.35"/>
    <row r="156" ht="12.75" hidden="1" customHeight="1" x14ac:dyDescent="0.35"/>
    <row r="157" ht="12.75" hidden="1" customHeight="1" x14ac:dyDescent="0.35"/>
    <row r="158" ht="12.75" hidden="1" customHeight="1" x14ac:dyDescent="0.35"/>
    <row r="159" ht="12.75" hidden="1" customHeight="1" x14ac:dyDescent="0.35"/>
    <row r="160" ht="12.75" hidden="1" customHeight="1" x14ac:dyDescent="0.35"/>
    <row r="161" ht="12.75" hidden="1" customHeight="1" x14ac:dyDescent="0.35"/>
    <row r="162" ht="12.75" hidden="1" customHeight="1" x14ac:dyDescent="0.35"/>
    <row r="163" ht="12.75" hidden="1" customHeight="1" x14ac:dyDescent="0.35"/>
    <row r="164" ht="12.75" hidden="1" customHeight="1" x14ac:dyDescent="0.35"/>
    <row r="165" ht="12.75" hidden="1" customHeight="1" x14ac:dyDescent="0.35"/>
    <row r="166" ht="12.75" hidden="1" customHeight="1" x14ac:dyDescent="0.35"/>
    <row r="167" ht="12.75" hidden="1" customHeight="1" x14ac:dyDescent="0.35"/>
    <row r="168" ht="12.75" hidden="1" customHeight="1" x14ac:dyDescent="0.35"/>
    <row r="169" ht="12.75" hidden="1" customHeight="1" x14ac:dyDescent="0.35"/>
    <row r="170" ht="12.75" hidden="1" customHeight="1" x14ac:dyDescent="0.35"/>
    <row r="171" ht="12.75" hidden="1" customHeight="1" x14ac:dyDescent="0.35"/>
    <row r="172" ht="12.75" hidden="1" customHeight="1" x14ac:dyDescent="0.35"/>
    <row r="173" ht="12.75" hidden="1" customHeight="1" x14ac:dyDescent="0.35"/>
    <row r="174" ht="12.75" hidden="1" customHeight="1" x14ac:dyDescent="0.35"/>
    <row r="175" ht="12.75" hidden="1" customHeight="1" x14ac:dyDescent="0.35"/>
    <row r="176" ht="12.75" customHeight="1" x14ac:dyDescent="0.35"/>
    <row r="177" spans="3:4" ht="12.75" customHeight="1" x14ac:dyDescent="0.35">
      <c r="C177" s="220" t="s">
        <v>6007</v>
      </c>
    </row>
    <row r="178" spans="3:4" ht="12.75" customHeight="1" x14ac:dyDescent="0.35"/>
    <row r="179" spans="3:4" ht="12.75" customHeight="1" x14ac:dyDescent="0.35">
      <c r="D179" s="220" t="s">
        <v>6008</v>
      </c>
    </row>
    <row r="180" spans="3:4" ht="12.75" customHeight="1" x14ac:dyDescent="0.35"/>
    <row r="181" spans="3:4" ht="12.75" hidden="1" customHeight="1" x14ac:dyDescent="0.35"/>
    <row r="182" spans="3:4" ht="12.75" hidden="1" customHeight="1" x14ac:dyDescent="0.35"/>
    <row r="183" spans="3:4" ht="12.75" hidden="1" customHeight="1" x14ac:dyDescent="0.35"/>
    <row r="184" spans="3:4" ht="12.75" hidden="1" customHeight="1" x14ac:dyDescent="0.35"/>
    <row r="185" spans="3:4" ht="12.75" hidden="1" customHeight="1" x14ac:dyDescent="0.35"/>
    <row r="186" spans="3:4" ht="12.75" hidden="1" customHeight="1" x14ac:dyDescent="0.35"/>
    <row r="187" spans="3:4" ht="12.75" hidden="1" customHeight="1" x14ac:dyDescent="0.35"/>
    <row r="188" spans="3:4" ht="12.75" hidden="1" customHeight="1" x14ac:dyDescent="0.35"/>
    <row r="189" spans="3:4" ht="12.75" hidden="1" customHeight="1" x14ac:dyDescent="0.35"/>
    <row r="190" spans="3:4" ht="12.75" hidden="1" customHeight="1" x14ac:dyDescent="0.35"/>
    <row r="191" spans="3:4" ht="12.75" hidden="1" customHeight="1" x14ac:dyDescent="0.35"/>
    <row r="192" spans="3:4" ht="12.75" hidden="1" customHeight="1" x14ac:dyDescent="0.35"/>
    <row r="193" ht="12.75" hidden="1" customHeight="1" x14ac:dyDescent="0.35"/>
    <row r="194" ht="12.75" hidden="1" customHeight="1" x14ac:dyDescent="0.35"/>
    <row r="195" ht="12.75" hidden="1" customHeight="1" x14ac:dyDescent="0.35"/>
    <row r="196" ht="12.75" hidden="1" customHeight="1" x14ac:dyDescent="0.35"/>
    <row r="197" ht="12.75" hidden="1" customHeight="1" x14ac:dyDescent="0.35"/>
    <row r="198" ht="12.75" hidden="1" customHeight="1" x14ac:dyDescent="0.35"/>
    <row r="199" ht="12.75" hidden="1" customHeight="1" x14ac:dyDescent="0.35"/>
    <row r="200" ht="12.75" hidden="1" customHeight="1" x14ac:dyDescent="0.35"/>
    <row r="201" ht="12.75" hidden="1" customHeight="1" x14ac:dyDescent="0.35"/>
    <row r="202" ht="12.75" hidden="1" customHeight="1" x14ac:dyDescent="0.35"/>
    <row r="203" ht="12.75" hidden="1" customHeight="1" x14ac:dyDescent="0.35"/>
    <row r="204" ht="12.75" hidden="1" customHeight="1" x14ac:dyDescent="0.35"/>
    <row r="205" ht="12.75" hidden="1" customHeight="1" x14ac:dyDescent="0.35"/>
    <row r="206" ht="12.75" hidden="1" customHeight="1" x14ac:dyDescent="0.35"/>
    <row r="207" ht="12.75" hidden="1" customHeight="1" x14ac:dyDescent="0.35"/>
    <row r="208" ht="12.75" hidden="1" customHeight="1" x14ac:dyDescent="0.35"/>
    <row r="209" spans="3:4" ht="12.75" hidden="1" customHeight="1" x14ac:dyDescent="0.35"/>
    <row r="210" spans="3:4" ht="12.75" hidden="1" customHeight="1" x14ac:dyDescent="0.35"/>
    <row r="211" spans="3:4" ht="12.75" hidden="1" customHeight="1" x14ac:dyDescent="0.35"/>
    <row r="212" spans="3:4" ht="12.75" hidden="1" customHeight="1" x14ac:dyDescent="0.35"/>
    <row r="213" spans="3:4" ht="12.75" hidden="1" customHeight="1" x14ac:dyDescent="0.35"/>
    <row r="214" spans="3:4" ht="12.75" hidden="1" customHeight="1" x14ac:dyDescent="0.35"/>
    <row r="215" spans="3:4" ht="12.75" hidden="1" customHeight="1" x14ac:dyDescent="0.35"/>
    <row r="216" spans="3:4" ht="12.75" hidden="1" customHeight="1" x14ac:dyDescent="0.35"/>
    <row r="217" spans="3:4" ht="12.75" hidden="1" customHeight="1" x14ac:dyDescent="0.35"/>
    <row r="218" spans="3:4" ht="12.75" hidden="1" customHeight="1" x14ac:dyDescent="0.35"/>
    <row r="219" spans="3:4" ht="12.75" hidden="1" customHeight="1" x14ac:dyDescent="0.35"/>
    <row r="220" spans="3:4" ht="12.75" customHeight="1" x14ac:dyDescent="0.35"/>
    <row r="221" spans="3:4" ht="12.75" customHeight="1" x14ac:dyDescent="0.35">
      <c r="C221" s="220" t="s">
        <v>6009</v>
      </c>
    </row>
    <row r="222" spans="3:4" ht="12.75" customHeight="1" x14ac:dyDescent="0.35"/>
    <row r="223" spans="3:4" ht="12.75" customHeight="1" x14ac:dyDescent="0.35">
      <c r="D223" s="220" t="s">
        <v>6010</v>
      </c>
    </row>
    <row r="224" spans="3:4" ht="12.75" customHeight="1" x14ac:dyDescent="0.35">
      <c r="D224" s="220" t="s">
        <v>6011</v>
      </c>
    </row>
    <row r="225" spans="4:4" ht="12.75" customHeight="1" x14ac:dyDescent="0.35">
      <c r="D225" s="220" t="s">
        <v>6012</v>
      </c>
    </row>
  </sheetData>
  <printOptions gridLines="1"/>
  <pageMargins left="0.75" right="0.75" top="1" bottom="1" header="0.5" footer="0.5"/>
  <pageSetup paperSize="9" orientation="portrait" r:id="rId1"/>
  <headerFooter>
    <oddHeader>&amp;C&amp;A</oddHeader>
    <oddFooter>&amp;CPage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pageSetUpPr autoPageBreaks="0"/>
  </sheetPr>
  <dimension ref="A1:D120"/>
  <sheetViews>
    <sheetView workbookViewId="0">
      <selection activeCell="D4" sqref="D4"/>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4628</v>
      </c>
    </row>
    <row r="5" spans="1:4" ht="12.75" customHeight="1" x14ac:dyDescent="0.35">
      <c r="A5"/>
      <c r="B5"/>
    </row>
    <row r="6" spans="1:4" ht="12.75" customHeight="1" x14ac:dyDescent="0.35">
      <c r="A6"/>
      <c r="B6"/>
      <c r="C6" s="159" t="s">
        <v>806</v>
      </c>
    </row>
    <row r="7" spans="1:4" ht="12.75" customHeight="1" x14ac:dyDescent="0.35">
      <c r="A7"/>
      <c r="B7"/>
    </row>
    <row r="8" spans="1:4" ht="12.75" customHeight="1" x14ac:dyDescent="0.35">
      <c r="A8"/>
      <c r="B8"/>
      <c r="C8" s="97" t="s">
        <v>1949</v>
      </c>
    </row>
    <row r="9" spans="1:4" ht="12.75" customHeight="1" x14ac:dyDescent="0.35">
      <c r="A9"/>
      <c r="B9"/>
      <c r="C9" s="97" t="s">
        <v>1950</v>
      </c>
    </row>
    <row r="10" spans="1:4" ht="12.75" customHeight="1" x14ac:dyDescent="0.35">
      <c r="A10"/>
      <c r="B10"/>
      <c r="C10" s="97" t="s">
        <v>1951</v>
      </c>
    </row>
    <row r="11" spans="1:4" ht="12.75" customHeight="1" x14ac:dyDescent="0.35">
      <c r="A11"/>
      <c r="B11"/>
      <c r="C11" s="97" t="s">
        <v>1952</v>
      </c>
    </row>
    <row r="12" spans="1:4" ht="12.75" customHeight="1" x14ac:dyDescent="0.35">
      <c r="A12"/>
      <c r="B12"/>
      <c r="C12" s="97" t="s">
        <v>1953</v>
      </c>
    </row>
    <row r="13" spans="1:4" ht="12.75" customHeight="1" x14ac:dyDescent="0.35">
      <c r="A13"/>
      <c r="B13"/>
      <c r="C13" s="97" t="s">
        <v>1954</v>
      </c>
    </row>
    <row r="14" spans="1:4" ht="12.75" customHeight="1" x14ac:dyDescent="0.35">
      <c r="A14"/>
      <c r="B14"/>
      <c r="C14" s="97" t="s">
        <v>1955</v>
      </c>
    </row>
    <row r="15" spans="1:4" ht="12.75" customHeight="1" x14ac:dyDescent="0.35">
      <c r="A15"/>
      <c r="B15"/>
      <c r="C15" s="97" t="s">
        <v>901</v>
      </c>
    </row>
    <row r="16" spans="1:4" ht="12.75" customHeight="1" x14ac:dyDescent="0.35">
      <c r="A16"/>
      <c r="B16"/>
      <c r="C16" s="97" t="s">
        <v>4629</v>
      </c>
    </row>
    <row r="17" spans="1:3" ht="12.75" customHeight="1" x14ac:dyDescent="0.35">
      <c r="A17"/>
      <c r="B17"/>
    </row>
    <row r="18" spans="1:3" ht="12.75" customHeight="1" x14ac:dyDescent="0.35">
      <c r="A18"/>
      <c r="B18"/>
      <c r="C18" s="97" t="s">
        <v>1959</v>
      </c>
    </row>
    <row r="19" spans="1:3" ht="12.75" customHeight="1" x14ac:dyDescent="0.35">
      <c r="A19"/>
      <c r="B19"/>
      <c r="C19" s="97" t="s">
        <v>1961</v>
      </c>
    </row>
    <row r="20" spans="1:3" ht="12.75" customHeight="1" x14ac:dyDescent="0.35">
      <c r="A20"/>
      <c r="B20"/>
      <c r="C20" s="97" t="s">
        <v>1963</v>
      </c>
    </row>
    <row r="21" spans="1:3" ht="12.75" customHeight="1" x14ac:dyDescent="0.35">
      <c r="A21"/>
      <c r="B21"/>
      <c r="C21" s="97" t="s">
        <v>4630</v>
      </c>
    </row>
    <row r="22" spans="1:3" ht="12.75" customHeight="1" x14ac:dyDescent="0.35">
      <c r="A22"/>
      <c r="B22"/>
    </row>
    <row r="23" spans="1:3" ht="12.75" customHeight="1" x14ac:dyDescent="0.35">
      <c r="A23"/>
      <c r="B23"/>
      <c r="C23" s="97" t="s">
        <v>1964</v>
      </c>
    </row>
    <row r="24" spans="1:3" ht="12.75" customHeight="1" x14ac:dyDescent="0.35">
      <c r="A24"/>
      <c r="B24"/>
      <c r="C24" s="97" t="s">
        <v>1965</v>
      </c>
    </row>
    <row r="25" spans="1:3" ht="12.75" customHeight="1" x14ac:dyDescent="0.35">
      <c r="A25"/>
      <c r="B25"/>
      <c r="C25" s="97" t="s">
        <v>4631</v>
      </c>
    </row>
    <row r="26" spans="1:3" ht="12.75" customHeight="1" x14ac:dyDescent="0.35">
      <c r="A26"/>
      <c r="B26"/>
    </row>
    <row r="27" spans="1:3" ht="12.75" customHeight="1" x14ac:dyDescent="0.35">
      <c r="A27"/>
      <c r="B27"/>
      <c r="C27" s="97" t="s">
        <v>1966</v>
      </c>
    </row>
    <row r="28" spans="1:3" ht="12.75" customHeight="1" x14ac:dyDescent="0.35">
      <c r="A28"/>
      <c r="B28"/>
      <c r="C28" s="97" t="s">
        <v>1967</v>
      </c>
    </row>
    <row r="29" spans="1:3" ht="12.75" customHeight="1" x14ac:dyDescent="0.35">
      <c r="A29"/>
      <c r="B29"/>
      <c r="C29" s="97" t="s">
        <v>1968</v>
      </c>
    </row>
    <row r="30" spans="1:3" ht="12.75" customHeight="1" x14ac:dyDescent="0.35">
      <c r="A30"/>
      <c r="B30"/>
      <c r="C30" s="97" t="s">
        <v>4632</v>
      </c>
    </row>
    <row r="31" spans="1:3" ht="12.75" customHeight="1" x14ac:dyDescent="0.35">
      <c r="A31"/>
      <c r="B31"/>
    </row>
    <row r="32" spans="1:3" ht="12.75" customHeight="1" x14ac:dyDescent="0.35">
      <c r="A32"/>
      <c r="B32"/>
      <c r="C32" s="97" t="s">
        <v>1972</v>
      </c>
    </row>
    <row r="33" spans="1:3" ht="12.75" customHeight="1" x14ac:dyDescent="0.35">
      <c r="A33"/>
      <c r="B33"/>
      <c r="C33" s="97" t="s">
        <v>1974</v>
      </c>
    </row>
    <row r="34" spans="1:3" ht="12.75" customHeight="1" x14ac:dyDescent="0.35">
      <c r="A34"/>
      <c r="B34"/>
      <c r="C34" s="97" t="s">
        <v>885</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1087</v>
      </c>
    </row>
    <row r="40" spans="1:3" ht="12.75" customHeight="1" x14ac:dyDescent="0.35">
      <c r="A40"/>
      <c r="B40"/>
    </row>
    <row r="41" spans="1:3" ht="12.75" customHeight="1" x14ac:dyDescent="0.35">
      <c r="A41"/>
      <c r="B41"/>
      <c r="C41" s="97" t="s">
        <v>1091</v>
      </c>
    </row>
    <row r="42" spans="1:3" ht="12.75" customHeight="1" x14ac:dyDescent="0.35">
      <c r="A42"/>
      <c r="B42"/>
      <c r="C42" s="97" t="s">
        <v>1982</v>
      </c>
    </row>
    <row r="43" spans="1:3" ht="12.75" customHeight="1" x14ac:dyDescent="0.35">
      <c r="A43"/>
      <c r="B43"/>
      <c r="C43" s="97" t="s">
        <v>1096</v>
      </c>
    </row>
    <row r="44" spans="1:3" ht="12.75" customHeight="1" x14ac:dyDescent="0.35">
      <c r="A44"/>
      <c r="B44"/>
      <c r="C44" s="97" t="s">
        <v>1983</v>
      </c>
    </row>
    <row r="45" spans="1:3" ht="12.75" customHeight="1" x14ac:dyDescent="0.35">
      <c r="A45"/>
      <c r="B45"/>
      <c r="C45" s="97" t="s">
        <v>1985</v>
      </c>
    </row>
    <row r="46" spans="1:3" ht="12.75" customHeight="1" x14ac:dyDescent="0.35">
      <c r="A46"/>
      <c r="B46"/>
      <c r="C46" s="97" t="s">
        <v>1987</v>
      </c>
    </row>
    <row r="47" spans="1:3" ht="12.75" customHeight="1" x14ac:dyDescent="0.35">
      <c r="A47"/>
      <c r="B47"/>
      <c r="C47" s="97" t="s">
        <v>1161</v>
      </c>
    </row>
    <row r="48" spans="1:3" ht="12.75" customHeight="1" x14ac:dyDescent="0.35">
      <c r="A48"/>
      <c r="B48"/>
      <c r="C48" s="97" t="s">
        <v>1990</v>
      </c>
    </row>
    <row r="49" spans="1:3" ht="12.75" customHeight="1" x14ac:dyDescent="0.35">
      <c r="A49"/>
      <c r="B49"/>
      <c r="C49" s="97" t="s">
        <v>1992</v>
      </c>
    </row>
    <row r="50" spans="1:3" ht="12.75" customHeight="1" x14ac:dyDescent="0.35">
      <c r="A50"/>
      <c r="B50"/>
    </row>
    <row r="51" spans="1:3" ht="12.75" customHeight="1" x14ac:dyDescent="0.35">
      <c r="A51"/>
      <c r="B51"/>
      <c r="C51" s="97" t="s">
        <v>1995</v>
      </c>
    </row>
    <row r="52" spans="1:3" ht="12.75" customHeight="1" x14ac:dyDescent="0.35">
      <c r="A52"/>
      <c r="B52"/>
      <c r="C52" s="97" t="s">
        <v>961</v>
      </c>
    </row>
    <row r="53" spans="1:3" ht="12.75" customHeight="1" x14ac:dyDescent="0.35">
      <c r="A53"/>
      <c r="B53"/>
      <c r="C53" s="97" t="s">
        <v>1998</v>
      </c>
    </row>
    <row r="54" spans="1:3" ht="12.75" customHeight="1" x14ac:dyDescent="0.35">
      <c r="A54"/>
      <c r="B54"/>
      <c r="C54" s="97" t="s">
        <v>2000</v>
      </c>
    </row>
    <row r="55" spans="1:3" ht="12.75" customHeight="1" x14ac:dyDescent="0.35">
      <c r="A55"/>
      <c r="B55"/>
      <c r="C55" s="97" t="s">
        <v>2001</v>
      </c>
    </row>
    <row r="56" spans="1:3" ht="12.75" customHeight="1" x14ac:dyDescent="0.35">
      <c r="A56"/>
      <c r="B56"/>
    </row>
    <row r="57" spans="1:3" ht="12.75" customHeight="1" x14ac:dyDescent="0.35">
      <c r="A57"/>
      <c r="B57"/>
      <c r="C57" s="97" t="s">
        <v>2003</v>
      </c>
    </row>
    <row r="58" spans="1:3" ht="12.75" customHeight="1" x14ac:dyDescent="0.35">
      <c r="A58"/>
      <c r="B58"/>
    </row>
    <row r="59" spans="1:3" ht="12.75" customHeight="1" x14ac:dyDescent="0.35">
      <c r="A59"/>
      <c r="B59"/>
      <c r="C59" s="97" t="s">
        <v>2004</v>
      </c>
    </row>
    <row r="60" spans="1:3" ht="12.75" customHeight="1" x14ac:dyDescent="0.35">
      <c r="A60"/>
      <c r="B60"/>
      <c r="C60" s="97" t="s">
        <v>2005</v>
      </c>
    </row>
    <row r="61" spans="1:3" ht="12.75" customHeight="1" x14ac:dyDescent="0.35">
      <c r="A61"/>
      <c r="B61"/>
      <c r="C61" s="97" t="s">
        <v>677</v>
      </c>
    </row>
    <row r="62" spans="1:3" ht="12.75" customHeight="1" x14ac:dyDescent="0.35">
      <c r="A62"/>
      <c r="B62"/>
      <c r="C62" s="97" t="s">
        <v>2006</v>
      </c>
    </row>
    <row r="63" spans="1:3" ht="12.75" customHeight="1" x14ac:dyDescent="0.35">
      <c r="A63"/>
      <c r="B63"/>
      <c r="C63" s="97" t="s">
        <v>2007</v>
      </c>
    </row>
    <row r="64" spans="1:3" ht="12.75" customHeight="1" x14ac:dyDescent="0.35">
      <c r="A64"/>
      <c r="B64"/>
      <c r="C64" s="97" t="s">
        <v>885</v>
      </c>
    </row>
    <row r="65" spans="1:3" ht="12.75" customHeight="1" x14ac:dyDescent="0.35">
      <c r="A65"/>
      <c r="B65"/>
      <c r="C65" s="97" t="s">
        <v>2008</v>
      </c>
    </row>
    <row r="66" spans="1:3" ht="12.75" customHeight="1" x14ac:dyDescent="0.35">
      <c r="A66"/>
      <c r="B66"/>
    </row>
    <row r="67" spans="1:3" ht="12.75" customHeight="1" x14ac:dyDescent="0.35">
      <c r="A67"/>
      <c r="B67"/>
      <c r="C67" s="97" t="s">
        <v>2010</v>
      </c>
    </row>
    <row r="68" spans="1:3" ht="12.75" customHeight="1" x14ac:dyDescent="0.35">
      <c r="A68"/>
      <c r="B68"/>
      <c r="C68" s="97" t="s">
        <v>2011</v>
      </c>
    </row>
    <row r="69" spans="1:3" ht="12.75" customHeight="1" x14ac:dyDescent="0.35">
      <c r="A69"/>
      <c r="B69"/>
      <c r="C69" s="97" t="s">
        <v>2012</v>
      </c>
    </row>
    <row r="70" spans="1:3" ht="12.75" customHeight="1" x14ac:dyDescent="0.35">
      <c r="A70"/>
      <c r="B70"/>
      <c r="C70" s="97" t="s">
        <v>1233</v>
      </c>
    </row>
    <row r="71" spans="1:3" ht="12.75" customHeight="1" x14ac:dyDescent="0.35">
      <c r="A71"/>
      <c r="B71"/>
      <c r="C71" s="97" t="s">
        <v>1222</v>
      </c>
    </row>
    <row r="72" spans="1:3" ht="12.75" customHeight="1" x14ac:dyDescent="0.35">
      <c r="A72"/>
      <c r="B72"/>
      <c r="C72" s="97" t="s">
        <v>2015</v>
      </c>
    </row>
    <row r="73" spans="1:3" ht="12.75" customHeight="1" x14ac:dyDescent="0.35">
      <c r="A73"/>
      <c r="B73"/>
      <c r="C73" s="97" t="s">
        <v>2016</v>
      </c>
    </row>
    <row r="74" spans="1:3" ht="12.75" customHeight="1" x14ac:dyDescent="0.35">
      <c r="A74"/>
      <c r="B74"/>
    </row>
    <row r="75" spans="1:3" ht="12.75" customHeight="1" x14ac:dyDescent="0.35">
      <c r="A75"/>
      <c r="B75"/>
      <c r="C75" s="97" t="s">
        <v>968</v>
      </c>
    </row>
    <row r="76" spans="1:3" ht="12.75" customHeight="1" x14ac:dyDescent="0.35">
      <c r="A76"/>
      <c r="B76"/>
      <c r="C76" s="97" t="s">
        <v>2012</v>
      </c>
    </row>
    <row r="77" spans="1:3" ht="12.75" customHeight="1" x14ac:dyDescent="0.35">
      <c r="A77"/>
      <c r="B77"/>
      <c r="C77" s="97" t="s">
        <v>2019</v>
      </c>
    </row>
    <row r="78" spans="1:3" ht="12.75" customHeight="1" x14ac:dyDescent="0.35">
      <c r="A78"/>
      <c r="B78"/>
      <c r="C78" s="97" t="s">
        <v>2021</v>
      </c>
    </row>
    <row r="79" spans="1:3" ht="12.75" customHeight="1" x14ac:dyDescent="0.35">
      <c r="A79"/>
      <c r="B79"/>
      <c r="C79" s="97" t="s">
        <v>2023</v>
      </c>
    </row>
    <row r="80" spans="1:3" ht="12.75" customHeight="1" x14ac:dyDescent="0.35">
      <c r="A80"/>
      <c r="B80"/>
    </row>
    <row r="81" spans="1:3" ht="12.75" customHeight="1" x14ac:dyDescent="0.35">
      <c r="A81"/>
      <c r="B81"/>
      <c r="C81" s="97" t="s">
        <v>1254</v>
      </c>
    </row>
    <row r="82" spans="1:3" ht="12.75" customHeight="1" x14ac:dyDescent="0.35">
      <c r="A82"/>
      <c r="B82"/>
    </row>
    <row r="83" spans="1:3" ht="12.75" customHeight="1" x14ac:dyDescent="0.35">
      <c r="A83"/>
      <c r="B83"/>
      <c r="C83" s="97" t="s">
        <v>2028</v>
      </c>
    </row>
    <row r="84" spans="1:3" ht="12.75" customHeight="1" x14ac:dyDescent="0.35">
      <c r="A84"/>
      <c r="B84"/>
    </row>
    <row r="85" spans="1:3" ht="12.75" customHeight="1" x14ac:dyDescent="0.35">
      <c r="A85"/>
      <c r="B85"/>
      <c r="C85" s="159" t="s">
        <v>5168</v>
      </c>
    </row>
    <row r="86" spans="1:3" ht="12.75" customHeight="1" x14ac:dyDescent="0.35">
      <c r="A86"/>
      <c r="B86"/>
    </row>
    <row r="87" spans="1:3" ht="12.75" customHeight="1" x14ac:dyDescent="0.35">
      <c r="A87"/>
      <c r="B87"/>
      <c r="C87" s="97" t="s">
        <v>2033</v>
      </c>
    </row>
    <row r="88" spans="1:3" ht="12.75" customHeight="1" x14ac:dyDescent="0.35">
      <c r="A88"/>
      <c r="B88"/>
      <c r="C88" s="97" t="s">
        <v>2035</v>
      </c>
    </row>
    <row r="89" spans="1:3" ht="12.75" customHeight="1" x14ac:dyDescent="0.35">
      <c r="A89"/>
      <c r="B89"/>
      <c r="C89" s="97" t="s">
        <v>2037</v>
      </c>
    </row>
    <row r="90" spans="1:3" ht="12.75" customHeight="1" x14ac:dyDescent="0.35">
      <c r="A90"/>
      <c r="B90"/>
      <c r="C90" s="97" t="s">
        <v>1961</v>
      </c>
    </row>
    <row r="91" spans="1:3" ht="12.75" customHeight="1" x14ac:dyDescent="0.35">
      <c r="A91"/>
      <c r="B91"/>
      <c r="C91" s="97" t="s">
        <v>2040</v>
      </c>
    </row>
    <row r="92" spans="1:3" ht="12.75" customHeight="1" x14ac:dyDescent="0.35">
      <c r="A92"/>
      <c r="B92"/>
      <c r="C92" s="97" t="s">
        <v>2042</v>
      </c>
    </row>
    <row r="93" spans="1:3" ht="12.75" customHeight="1" x14ac:dyDescent="0.35">
      <c r="A93"/>
      <c r="B93"/>
      <c r="C93" s="97" t="s">
        <v>2044</v>
      </c>
    </row>
    <row r="94" spans="1:3" ht="12.75" customHeight="1" x14ac:dyDescent="0.35">
      <c r="A94"/>
      <c r="B94"/>
      <c r="C94" s="97" t="s">
        <v>980</v>
      </c>
    </row>
    <row r="95" spans="1:3" ht="12.75" customHeight="1" x14ac:dyDescent="0.35">
      <c r="A95"/>
      <c r="B95"/>
      <c r="C95" s="97" t="s">
        <v>2047</v>
      </c>
    </row>
    <row r="96" spans="1:3" ht="12.75" customHeight="1" x14ac:dyDescent="0.35">
      <c r="A96"/>
      <c r="B96"/>
      <c r="C96" s="97" t="s">
        <v>2049</v>
      </c>
    </row>
    <row r="97" spans="1:3" ht="12.75" customHeight="1" x14ac:dyDescent="0.35">
      <c r="A97"/>
      <c r="B97"/>
      <c r="C97" s="97" t="s">
        <v>2051</v>
      </c>
    </row>
    <row r="98" spans="1:3" ht="12.75" customHeight="1" x14ac:dyDescent="0.35">
      <c r="A98"/>
      <c r="B98"/>
    </row>
    <row r="99" spans="1:3" ht="12.75" customHeight="1" x14ac:dyDescent="0.35">
      <c r="A99"/>
      <c r="B99"/>
      <c r="C99" s="97" t="s">
        <v>2054</v>
      </c>
    </row>
    <row r="100" spans="1:3" ht="12.75" customHeight="1" x14ac:dyDescent="0.35">
      <c r="A100"/>
      <c r="B100"/>
      <c r="C100" s="97" t="s">
        <v>2055</v>
      </c>
    </row>
    <row r="101" spans="1:3" ht="12.75" customHeight="1" x14ac:dyDescent="0.35">
      <c r="A101"/>
      <c r="B101"/>
      <c r="C101" s="97" t="s">
        <v>2056</v>
      </c>
    </row>
    <row r="102" spans="1:3" ht="12.75" customHeight="1" x14ac:dyDescent="0.35">
      <c r="A102"/>
      <c r="B102"/>
      <c r="C102" s="97" t="s">
        <v>2057</v>
      </c>
    </row>
    <row r="103" spans="1:3" ht="12.75" customHeight="1" x14ac:dyDescent="0.35">
      <c r="A103"/>
      <c r="B103"/>
      <c r="C103" s="97" t="s">
        <v>2058</v>
      </c>
    </row>
    <row r="104" spans="1:3" ht="12.75" customHeight="1" x14ac:dyDescent="0.35">
      <c r="A104"/>
      <c r="B104"/>
      <c r="C104" s="97" t="s">
        <v>2059</v>
      </c>
    </row>
    <row r="105" spans="1:3" ht="12.75" customHeight="1" x14ac:dyDescent="0.35">
      <c r="A105"/>
      <c r="B105"/>
      <c r="C105" s="97" t="s">
        <v>2060</v>
      </c>
    </row>
    <row r="106" spans="1:3" ht="12.75" customHeight="1" x14ac:dyDescent="0.35">
      <c r="A106"/>
      <c r="B106"/>
      <c r="C106" s="97" t="s">
        <v>2061</v>
      </c>
    </row>
    <row r="107" spans="1:3" ht="12.75" customHeight="1" x14ac:dyDescent="0.35">
      <c r="A107"/>
      <c r="B107"/>
      <c r="C107" s="97" t="s">
        <v>2062</v>
      </c>
    </row>
    <row r="108" spans="1:3" ht="12.75" customHeight="1" x14ac:dyDescent="0.35">
      <c r="A108"/>
      <c r="B108"/>
    </row>
    <row r="109" spans="1:3" ht="12.75" customHeight="1" x14ac:dyDescent="0.35">
      <c r="A109"/>
      <c r="B109"/>
      <c r="C109" s="97" t="s">
        <v>2063</v>
      </c>
    </row>
    <row r="110" spans="1:3" ht="12.75" customHeight="1" x14ac:dyDescent="0.35">
      <c r="A110"/>
      <c r="B110"/>
    </row>
    <row r="111" spans="1:3" ht="12.75" customHeight="1" x14ac:dyDescent="0.35">
      <c r="A111"/>
      <c r="B111"/>
      <c r="C111" s="97" t="s">
        <v>2064</v>
      </c>
    </row>
    <row r="112" spans="1:3" ht="12.75" customHeight="1" x14ac:dyDescent="0.35">
      <c r="A112"/>
      <c r="B112"/>
      <c r="C112" s="97" t="s">
        <v>2065</v>
      </c>
    </row>
    <row r="113" spans="1:3" ht="12.75" customHeight="1" x14ac:dyDescent="0.35">
      <c r="A113"/>
      <c r="B113"/>
      <c r="C113" s="97" t="s">
        <v>2066</v>
      </c>
    </row>
    <row r="114" spans="1:3" ht="12.75" customHeight="1" x14ac:dyDescent="0.35">
      <c r="A114"/>
      <c r="B114"/>
      <c r="C114" s="97" t="s">
        <v>2068</v>
      </c>
    </row>
    <row r="115" spans="1:3" ht="12.75" customHeight="1" x14ac:dyDescent="0.35">
      <c r="A115"/>
      <c r="B115"/>
      <c r="C115" s="97" t="s">
        <v>2070</v>
      </c>
    </row>
    <row r="116" spans="1:3" ht="12.75" customHeight="1" x14ac:dyDescent="0.35">
      <c r="A116"/>
      <c r="B116"/>
      <c r="C116" s="97" t="s">
        <v>2072</v>
      </c>
    </row>
    <row r="117" spans="1:3" ht="12.75" customHeight="1" x14ac:dyDescent="0.35">
      <c r="A117"/>
      <c r="B117"/>
      <c r="C117" s="97" t="s">
        <v>2074</v>
      </c>
    </row>
    <row r="118" spans="1:3" ht="12.75" customHeight="1" x14ac:dyDescent="0.35"/>
    <row r="119" spans="1:3" ht="12.75" customHeight="1" x14ac:dyDescent="0.35">
      <c r="C119" s="97" t="s">
        <v>2077</v>
      </c>
    </row>
    <row r="120" spans="1:3" ht="12.75" customHeight="1" x14ac:dyDescent="0.35">
      <c r="C120" s="97" t="s">
        <v>2079</v>
      </c>
    </row>
  </sheetData>
  <pageMargins left="0.75" right="0.75" top="1" bottom="1" header="0.5" footer="0.5"/>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pageSetUpPr autoPageBreaks="0"/>
  </sheetPr>
  <dimension ref="A1:D120"/>
  <sheetViews>
    <sheetView topLeftCell="A61" workbookViewId="0">
      <selection activeCell="I76" sqref="I76"/>
    </sheetView>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row>
    <row r="4" spans="1:4" ht="12.75" customHeight="1" x14ac:dyDescent="0.35">
      <c r="A4"/>
      <c r="B4"/>
      <c r="D4" s="97" t="s">
        <v>4633</v>
      </c>
    </row>
    <row r="5" spans="1:4" ht="12.75" customHeight="1" x14ac:dyDescent="0.35">
      <c r="A5"/>
      <c r="B5"/>
    </row>
    <row r="6" spans="1:4" ht="12.75" customHeight="1" x14ac:dyDescent="0.35">
      <c r="A6"/>
      <c r="B6"/>
      <c r="C6" s="159" t="s">
        <v>2877</v>
      </c>
    </row>
    <row r="7" spans="1:4" ht="12.75" customHeight="1" x14ac:dyDescent="0.35">
      <c r="A7"/>
      <c r="B7"/>
    </row>
    <row r="8" spans="1:4" ht="12.75" customHeight="1" x14ac:dyDescent="0.35">
      <c r="A8"/>
      <c r="B8"/>
      <c r="C8" s="97" t="s">
        <v>4634</v>
      </c>
    </row>
    <row r="9" spans="1:4" ht="12.75" customHeight="1" x14ac:dyDescent="0.35">
      <c r="A9"/>
      <c r="B9"/>
      <c r="C9" s="97" t="s">
        <v>4635</v>
      </c>
    </row>
    <row r="10" spans="1:4" ht="12.75" customHeight="1" x14ac:dyDescent="0.35">
      <c r="A10"/>
      <c r="B10"/>
      <c r="C10" s="97" t="s">
        <v>4636</v>
      </c>
    </row>
    <row r="11" spans="1:4" ht="12.75" customHeight="1" x14ac:dyDescent="0.35">
      <c r="A11"/>
      <c r="B11"/>
      <c r="C11" s="97" t="s">
        <v>4637</v>
      </c>
    </row>
    <row r="12" spans="1:4" ht="12.75" customHeight="1" x14ac:dyDescent="0.35">
      <c r="A12"/>
      <c r="B12"/>
      <c r="C12" s="97" t="s">
        <v>4638</v>
      </c>
    </row>
    <row r="13" spans="1:4" ht="12.75" customHeight="1" x14ac:dyDescent="0.35">
      <c r="A13"/>
      <c r="B13"/>
      <c r="C13" s="97" t="s">
        <v>4639</v>
      </c>
    </row>
    <row r="14" spans="1:4" ht="12.75" customHeight="1" x14ac:dyDescent="0.35">
      <c r="A14"/>
      <c r="B14"/>
      <c r="C14" s="97" t="s">
        <v>4640</v>
      </c>
    </row>
    <row r="15" spans="1:4" ht="12.75" customHeight="1" x14ac:dyDescent="0.35">
      <c r="A15"/>
      <c r="B15"/>
      <c r="C15" s="97" t="s">
        <v>2912</v>
      </c>
    </row>
    <row r="16" spans="1:4" ht="12.75" customHeight="1" x14ac:dyDescent="0.35">
      <c r="A16"/>
      <c r="B16"/>
      <c r="C16" s="97" t="s">
        <v>4641</v>
      </c>
    </row>
    <row r="17" spans="1:3" ht="12.75" customHeight="1" x14ac:dyDescent="0.35">
      <c r="A17"/>
      <c r="B17"/>
    </row>
    <row r="18" spans="1:3" ht="12.75" customHeight="1" x14ac:dyDescent="0.35">
      <c r="A18"/>
      <c r="B18"/>
      <c r="C18" s="97" t="s">
        <v>4642</v>
      </c>
    </row>
    <row r="19" spans="1:3" ht="12.75" customHeight="1" x14ac:dyDescent="0.35">
      <c r="A19"/>
      <c r="B19"/>
      <c r="C19" s="97" t="s">
        <v>4643</v>
      </c>
    </row>
    <row r="20" spans="1:3" ht="12.75" customHeight="1" x14ac:dyDescent="0.35">
      <c r="A20"/>
      <c r="B20"/>
      <c r="C20" s="97" t="s">
        <v>4644</v>
      </c>
    </row>
    <row r="21" spans="1:3" ht="12.75" customHeight="1" x14ac:dyDescent="0.35">
      <c r="A21"/>
      <c r="B21"/>
      <c r="C21" s="97" t="s">
        <v>4645</v>
      </c>
    </row>
    <row r="22" spans="1:3" ht="12.75" customHeight="1" x14ac:dyDescent="0.35">
      <c r="A22"/>
      <c r="B22"/>
    </row>
    <row r="23" spans="1:3" ht="12.75" customHeight="1" x14ac:dyDescent="0.35">
      <c r="A23"/>
      <c r="B23"/>
      <c r="C23" s="97" t="s">
        <v>4646</v>
      </c>
    </row>
    <row r="24" spans="1:3" ht="12.75" customHeight="1" x14ac:dyDescent="0.35">
      <c r="A24"/>
      <c r="B24"/>
      <c r="C24" s="97" t="s">
        <v>4647</v>
      </c>
    </row>
    <row r="25" spans="1:3" ht="12.75" customHeight="1" x14ac:dyDescent="0.35">
      <c r="A25"/>
      <c r="B25"/>
      <c r="C25" s="97" t="s">
        <v>4648</v>
      </c>
    </row>
    <row r="26" spans="1:3" ht="12.75" customHeight="1" x14ac:dyDescent="0.35">
      <c r="A26"/>
      <c r="B26"/>
    </row>
    <row r="27" spans="1:3" ht="12.75" customHeight="1" x14ac:dyDescent="0.35">
      <c r="A27"/>
      <c r="B27"/>
      <c r="C27" s="97" t="s">
        <v>4649</v>
      </c>
    </row>
    <row r="28" spans="1:3" ht="12.75" customHeight="1" x14ac:dyDescent="0.35">
      <c r="A28"/>
      <c r="B28"/>
      <c r="C28" s="97" t="s">
        <v>4650</v>
      </c>
    </row>
    <row r="29" spans="1:3" ht="12.75" customHeight="1" x14ac:dyDescent="0.35">
      <c r="A29"/>
      <c r="B29"/>
      <c r="C29" s="97" t="s">
        <v>4651</v>
      </c>
    </row>
    <row r="30" spans="1:3" ht="12.75" customHeight="1" x14ac:dyDescent="0.35">
      <c r="A30"/>
      <c r="B30"/>
      <c r="C30" s="97" t="s">
        <v>4652</v>
      </c>
    </row>
    <row r="31" spans="1:3" ht="12.75" customHeight="1" x14ac:dyDescent="0.35">
      <c r="A31"/>
      <c r="B31"/>
    </row>
    <row r="32" spans="1:3" ht="12.75" customHeight="1" x14ac:dyDescent="0.35">
      <c r="A32"/>
      <c r="B32"/>
      <c r="C32" s="97" t="s">
        <v>4653</v>
      </c>
    </row>
    <row r="33" spans="1:3" ht="12.75" customHeight="1" x14ac:dyDescent="0.35">
      <c r="A33"/>
      <c r="B33"/>
      <c r="C33" s="97" t="s">
        <v>4654</v>
      </c>
    </row>
    <row r="34" spans="1:3" ht="12.75" customHeight="1" x14ac:dyDescent="0.35">
      <c r="A34"/>
      <c r="B34"/>
      <c r="C34" s="97" t="s">
        <v>4655</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2973</v>
      </c>
    </row>
    <row r="40" spans="1:3" ht="12.75" customHeight="1" x14ac:dyDescent="0.35">
      <c r="A40"/>
      <c r="B40"/>
    </row>
    <row r="41" spans="1:3" ht="12.75" customHeight="1" x14ac:dyDescent="0.35">
      <c r="A41"/>
      <c r="B41"/>
      <c r="C41" s="97" t="s">
        <v>4656</v>
      </c>
    </row>
    <row r="42" spans="1:3" ht="12.75" customHeight="1" x14ac:dyDescent="0.35">
      <c r="A42"/>
      <c r="B42"/>
      <c r="C42" s="97" t="s">
        <v>4657</v>
      </c>
    </row>
    <row r="43" spans="1:3" ht="12.75" customHeight="1" x14ac:dyDescent="0.35">
      <c r="A43"/>
      <c r="B43"/>
      <c r="C43" s="97" t="s">
        <v>2977</v>
      </c>
    </row>
    <row r="44" spans="1:3" ht="12.75" customHeight="1" x14ac:dyDescent="0.35">
      <c r="A44"/>
      <c r="B44"/>
      <c r="C44" s="97" t="s">
        <v>4658</v>
      </c>
    </row>
    <row r="45" spans="1:3" ht="12.75" customHeight="1" x14ac:dyDescent="0.35">
      <c r="A45"/>
      <c r="B45"/>
      <c r="C45" s="97" t="s">
        <v>4659</v>
      </c>
    </row>
    <row r="46" spans="1:3" ht="12.75" customHeight="1" x14ac:dyDescent="0.35">
      <c r="A46"/>
      <c r="B46"/>
      <c r="C46" s="97" t="s">
        <v>4660</v>
      </c>
    </row>
    <row r="47" spans="1:3" ht="12.75" customHeight="1" x14ac:dyDescent="0.35">
      <c r="A47"/>
      <c r="B47"/>
      <c r="C47" s="97" t="s">
        <v>3001</v>
      </c>
    </row>
    <row r="48" spans="1:3" ht="12.75" customHeight="1" x14ac:dyDescent="0.35">
      <c r="A48"/>
      <c r="B48"/>
      <c r="C48" s="97" t="s">
        <v>3003</v>
      </c>
    </row>
    <row r="49" spans="1:3" ht="12.75" customHeight="1" x14ac:dyDescent="0.35">
      <c r="A49"/>
      <c r="B49"/>
      <c r="C49" s="97" t="s">
        <v>4661</v>
      </c>
    </row>
    <row r="50" spans="1:3" ht="12.75" customHeight="1" x14ac:dyDescent="0.35">
      <c r="A50"/>
      <c r="B50"/>
    </row>
    <row r="51" spans="1:3" ht="12.75" customHeight="1" x14ac:dyDescent="0.35">
      <c r="A51"/>
      <c r="B51"/>
      <c r="C51" s="97" t="s">
        <v>4662</v>
      </c>
    </row>
    <row r="52" spans="1:3" ht="12.75" customHeight="1" x14ac:dyDescent="0.35">
      <c r="A52"/>
      <c r="B52"/>
      <c r="C52" s="97" t="s">
        <v>2934</v>
      </c>
    </row>
    <row r="53" spans="1:3" ht="12.75" customHeight="1" x14ac:dyDescent="0.35">
      <c r="A53"/>
      <c r="B53"/>
      <c r="C53" s="97" t="s">
        <v>4663</v>
      </c>
    </row>
    <row r="54" spans="1:3" ht="12.75" customHeight="1" x14ac:dyDescent="0.35">
      <c r="A54"/>
      <c r="B54"/>
      <c r="C54" s="97" t="s">
        <v>4664</v>
      </c>
    </row>
    <row r="55" spans="1:3" ht="12.75" customHeight="1" x14ac:dyDescent="0.35">
      <c r="A55"/>
      <c r="B55"/>
      <c r="C55" s="97" t="s">
        <v>4665</v>
      </c>
    </row>
    <row r="56" spans="1:3" ht="12.75" customHeight="1" x14ac:dyDescent="0.35">
      <c r="A56"/>
      <c r="B56"/>
    </row>
    <row r="57" spans="1:3" ht="12.75" customHeight="1" x14ac:dyDescent="0.35">
      <c r="A57"/>
      <c r="B57"/>
      <c r="C57" s="97" t="s">
        <v>4666</v>
      </c>
    </row>
    <row r="58" spans="1:3" ht="12.75" customHeight="1" x14ac:dyDescent="0.35">
      <c r="A58"/>
      <c r="B58"/>
    </row>
    <row r="59" spans="1:3" ht="12.75" customHeight="1" x14ac:dyDescent="0.35">
      <c r="A59"/>
      <c r="B59"/>
      <c r="C59" s="97" t="s">
        <v>4667</v>
      </c>
    </row>
    <row r="60" spans="1:3" ht="12.75" customHeight="1" x14ac:dyDescent="0.35">
      <c r="A60"/>
      <c r="B60"/>
      <c r="C60" s="97" t="s">
        <v>4668</v>
      </c>
    </row>
    <row r="61" spans="1:3" ht="12.75" customHeight="1" x14ac:dyDescent="0.35">
      <c r="A61"/>
      <c r="B61"/>
      <c r="C61" s="97" t="s">
        <v>2853</v>
      </c>
    </row>
    <row r="62" spans="1:3" ht="12.75" customHeight="1" x14ac:dyDescent="0.35">
      <c r="A62"/>
      <c r="B62"/>
      <c r="C62" s="97" t="s">
        <v>4669</v>
      </c>
    </row>
    <row r="63" spans="1:3" ht="12.75" customHeight="1" x14ac:dyDescent="0.35">
      <c r="A63"/>
      <c r="B63"/>
      <c r="C63" s="97" t="s">
        <v>2646</v>
      </c>
    </row>
    <row r="64" spans="1:3" ht="12.75" customHeight="1" x14ac:dyDescent="0.35">
      <c r="A64"/>
      <c r="B64"/>
      <c r="C64" s="97" t="s">
        <v>4670</v>
      </c>
    </row>
    <row r="65" spans="1:3" ht="12.75" customHeight="1" x14ac:dyDescent="0.35">
      <c r="A65"/>
      <c r="B65"/>
      <c r="C65" s="97" t="s">
        <v>3015</v>
      </c>
    </row>
    <row r="66" spans="1:3" ht="12.75" customHeight="1" x14ac:dyDescent="0.35">
      <c r="A66"/>
      <c r="B66"/>
    </row>
    <row r="67" spans="1:3" ht="12.75" customHeight="1" x14ac:dyDescent="0.35">
      <c r="A67"/>
      <c r="B67"/>
      <c r="C67" s="97" t="s">
        <v>4671</v>
      </c>
    </row>
    <row r="68" spans="1:3" ht="12.75" customHeight="1" x14ac:dyDescent="0.35">
      <c r="A68"/>
      <c r="B68"/>
      <c r="C68" s="97" t="s">
        <v>4672</v>
      </c>
    </row>
    <row r="69" spans="1:3" ht="12.75" customHeight="1" x14ac:dyDescent="0.35">
      <c r="A69"/>
      <c r="B69"/>
      <c r="C69" s="97" t="s">
        <v>4673</v>
      </c>
    </row>
    <row r="70" spans="1:3" ht="12.75" customHeight="1" x14ac:dyDescent="0.35">
      <c r="A70"/>
      <c r="B70"/>
      <c r="C70" s="97" t="s">
        <v>3022</v>
      </c>
    </row>
    <row r="71" spans="1:3" ht="12.75" customHeight="1" x14ac:dyDescent="0.35">
      <c r="A71"/>
      <c r="B71"/>
      <c r="C71" s="97" t="s">
        <v>3017</v>
      </c>
    </row>
    <row r="72" spans="1:3" ht="12.75" customHeight="1" x14ac:dyDescent="0.35">
      <c r="A72"/>
      <c r="B72"/>
      <c r="C72" s="97" t="s">
        <v>4674</v>
      </c>
    </row>
    <row r="73" spans="1:3" ht="12.75" customHeight="1" x14ac:dyDescent="0.35">
      <c r="A73"/>
      <c r="B73"/>
      <c r="C73" s="97" t="s">
        <v>4675</v>
      </c>
    </row>
    <row r="74" spans="1:3" ht="12.75" customHeight="1" x14ac:dyDescent="0.35">
      <c r="A74"/>
      <c r="B74"/>
    </row>
    <row r="75" spans="1:3" ht="12.75" customHeight="1" x14ac:dyDescent="0.35">
      <c r="A75"/>
      <c r="B75"/>
      <c r="C75" s="97" t="s">
        <v>2935</v>
      </c>
    </row>
    <row r="76" spans="1:3" ht="12.75" customHeight="1" x14ac:dyDescent="0.35">
      <c r="A76"/>
      <c r="B76"/>
      <c r="C76" s="97" t="s">
        <v>4676</v>
      </c>
    </row>
    <row r="77" spans="1:3" ht="12.75" customHeight="1" x14ac:dyDescent="0.35">
      <c r="A77"/>
      <c r="B77"/>
      <c r="C77" s="97" t="s">
        <v>4677</v>
      </c>
    </row>
    <row r="78" spans="1:3" ht="12.75" customHeight="1" x14ac:dyDescent="0.35">
      <c r="A78"/>
      <c r="B78"/>
      <c r="C78" s="97" t="s">
        <v>4678</v>
      </c>
    </row>
    <row r="79" spans="1:3" ht="12.75" customHeight="1" x14ac:dyDescent="0.35">
      <c r="A79"/>
      <c r="B79"/>
      <c r="C79" s="97" t="s">
        <v>4679</v>
      </c>
    </row>
    <row r="80" spans="1:3" ht="12.75" customHeight="1" x14ac:dyDescent="0.35">
      <c r="A80"/>
      <c r="B80"/>
    </row>
    <row r="81" spans="1:3" ht="12.75" customHeight="1" x14ac:dyDescent="0.35">
      <c r="A81"/>
      <c r="B81"/>
      <c r="C81" s="97" t="s">
        <v>4680</v>
      </c>
    </row>
    <row r="82" spans="1:3" ht="12.75" customHeight="1" x14ac:dyDescent="0.35">
      <c r="A82"/>
      <c r="B82"/>
    </row>
    <row r="83" spans="1:3" ht="12.75" customHeight="1" x14ac:dyDescent="0.35">
      <c r="A83"/>
      <c r="B83"/>
      <c r="C83" s="97" t="s">
        <v>4681</v>
      </c>
    </row>
    <row r="84" spans="1:3" ht="12.75" customHeight="1" x14ac:dyDescent="0.35">
      <c r="A84"/>
      <c r="B84"/>
    </row>
    <row r="85" spans="1:3" ht="12.75" customHeight="1" x14ac:dyDescent="0.35">
      <c r="A85"/>
      <c r="B85"/>
      <c r="C85" s="159" t="s">
        <v>5169</v>
      </c>
    </row>
    <row r="86" spans="1:3" ht="12.75" customHeight="1" x14ac:dyDescent="0.35">
      <c r="A86"/>
      <c r="B86"/>
    </row>
    <row r="87" spans="1:3" ht="12.75" customHeight="1" x14ac:dyDescent="0.35">
      <c r="A87"/>
      <c r="B87"/>
      <c r="C87" s="97" t="s">
        <v>4682</v>
      </c>
    </row>
    <row r="88" spans="1:3" ht="12.75" customHeight="1" x14ac:dyDescent="0.35">
      <c r="A88"/>
      <c r="B88"/>
      <c r="C88" s="97" t="s">
        <v>4683</v>
      </c>
    </row>
    <row r="89" spans="1:3" ht="12.75" customHeight="1" x14ac:dyDescent="0.35">
      <c r="A89"/>
      <c r="B89"/>
      <c r="C89" s="97" t="s">
        <v>4684</v>
      </c>
    </row>
    <row r="90" spans="1:3" ht="12.75" customHeight="1" x14ac:dyDescent="0.35">
      <c r="A90"/>
      <c r="B90"/>
      <c r="C90" s="97" t="s">
        <v>4643</v>
      </c>
    </row>
    <row r="91" spans="1:3" ht="12.75" customHeight="1" x14ac:dyDescent="0.35">
      <c r="A91"/>
      <c r="B91"/>
      <c r="C91" s="97" t="s">
        <v>4685</v>
      </c>
    </row>
    <row r="92" spans="1:3" ht="12.75" customHeight="1" x14ac:dyDescent="0.35">
      <c r="A92"/>
      <c r="B92"/>
      <c r="C92" s="97" t="s">
        <v>2557</v>
      </c>
    </row>
    <row r="93" spans="1:3" ht="12.75" customHeight="1" x14ac:dyDescent="0.35">
      <c r="A93"/>
      <c r="B93"/>
      <c r="C93" s="97" t="s">
        <v>4686</v>
      </c>
    </row>
    <row r="94" spans="1:3" ht="12.75" customHeight="1" x14ac:dyDescent="0.35">
      <c r="A94"/>
      <c r="B94"/>
      <c r="C94" s="97" t="s">
        <v>4687</v>
      </c>
    </row>
    <row r="95" spans="1:3" ht="12.75" customHeight="1" x14ac:dyDescent="0.35">
      <c r="A95"/>
      <c r="B95"/>
      <c r="C95" s="97" t="s">
        <v>4688</v>
      </c>
    </row>
    <row r="96" spans="1:3" ht="12.75" customHeight="1" x14ac:dyDescent="0.35">
      <c r="A96"/>
      <c r="B96"/>
      <c r="C96" s="97" t="s">
        <v>4689</v>
      </c>
    </row>
    <row r="97" spans="1:3" ht="12.75" customHeight="1" x14ac:dyDescent="0.35">
      <c r="A97"/>
      <c r="B97"/>
      <c r="C97" s="97" t="s">
        <v>4690</v>
      </c>
    </row>
    <row r="98" spans="1:3" ht="12.75" customHeight="1" x14ac:dyDescent="0.35">
      <c r="A98"/>
      <c r="B98"/>
    </row>
    <row r="99" spans="1:3" ht="12.75" customHeight="1" x14ac:dyDescent="0.35">
      <c r="A99"/>
      <c r="B99"/>
      <c r="C99" s="97" t="s">
        <v>4691</v>
      </c>
    </row>
    <row r="100" spans="1:3" ht="12.75" customHeight="1" x14ac:dyDescent="0.35">
      <c r="A100"/>
      <c r="B100"/>
      <c r="C100" s="97" t="s">
        <v>4692</v>
      </c>
    </row>
    <row r="101" spans="1:3" ht="12.75" customHeight="1" x14ac:dyDescent="0.35">
      <c r="A101"/>
      <c r="B101"/>
      <c r="C101" s="97" t="s">
        <v>4693</v>
      </c>
    </row>
    <row r="102" spans="1:3" ht="12.75" customHeight="1" x14ac:dyDescent="0.35">
      <c r="A102"/>
      <c r="B102"/>
      <c r="C102" s="97" t="s">
        <v>4694</v>
      </c>
    </row>
    <row r="103" spans="1:3" ht="12.75" customHeight="1" x14ac:dyDescent="0.35">
      <c r="A103"/>
      <c r="B103"/>
      <c r="C103" s="97" t="s">
        <v>4695</v>
      </c>
    </row>
    <row r="104" spans="1:3" ht="12.75" customHeight="1" x14ac:dyDescent="0.35">
      <c r="A104"/>
      <c r="B104"/>
      <c r="C104" s="97" t="s">
        <v>4696</v>
      </c>
    </row>
    <row r="105" spans="1:3" ht="12.75" customHeight="1" x14ac:dyDescent="0.35">
      <c r="A105"/>
      <c r="B105"/>
      <c r="C105" s="97" t="s">
        <v>4697</v>
      </c>
    </row>
    <row r="106" spans="1:3" ht="12.75" customHeight="1" x14ac:dyDescent="0.35">
      <c r="A106"/>
      <c r="B106"/>
      <c r="C106" s="97" t="s">
        <v>4698</v>
      </c>
    </row>
    <row r="107" spans="1:3" ht="12.75" customHeight="1" x14ac:dyDescent="0.35">
      <c r="A107"/>
      <c r="B107"/>
      <c r="C107" s="97" t="s">
        <v>4699</v>
      </c>
    </row>
    <row r="108" spans="1:3" ht="12.75" customHeight="1" x14ac:dyDescent="0.35">
      <c r="A108"/>
      <c r="B108"/>
    </row>
    <row r="109" spans="1:3" ht="12.75" customHeight="1" x14ac:dyDescent="0.35">
      <c r="A109"/>
      <c r="B109"/>
      <c r="C109" s="97" t="s">
        <v>4700</v>
      </c>
    </row>
    <row r="110" spans="1:3" ht="12.75" customHeight="1" x14ac:dyDescent="0.35">
      <c r="A110"/>
      <c r="B110"/>
    </row>
    <row r="111" spans="1:3" ht="12.75" customHeight="1" x14ac:dyDescent="0.35">
      <c r="A111"/>
      <c r="B111"/>
      <c r="C111" s="97" t="s">
        <v>4701</v>
      </c>
    </row>
    <row r="112" spans="1:3" ht="12.75" customHeight="1" x14ac:dyDescent="0.35">
      <c r="A112"/>
      <c r="B112"/>
      <c r="C112" s="97" t="s">
        <v>4702</v>
      </c>
    </row>
    <row r="113" spans="1:3" ht="12.75" customHeight="1" x14ac:dyDescent="0.35">
      <c r="A113"/>
      <c r="B113"/>
      <c r="C113" s="97" t="s">
        <v>4703</v>
      </c>
    </row>
    <row r="114" spans="1:3" ht="12.75" customHeight="1" x14ac:dyDescent="0.35">
      <c r="A114"/>
      <c r="B114"/>
      <c r="C114" s="97" t="s">
        <v>4704</v>
      </c>
    </row>
    <row r="115" spans="1:3" ht="12.75" customHeight="1" x14ac:dyDescent="0.35">
      <c r="A115"/>
      <c r="B115"/>
      <c r="C115" s="97" t="s">
        <v>4705</v>
      </c>
    </row>
    <row r="116" spans="1:3" ht="12.75" customHeight="1" x14ac:dyDescent="0.35">
      <c r="A116"/>
      <c r="B116"/>
      <c r="C116" s="97" t="s">
        <v>4706</v>
      </c>
    </row>
    <row r="117" spans="1:3" ht="12.75" customHeight="1" x14ac:dyDescent="0.35">
      <c r="A117"/>
      <c r="B117"/>
      <c r="C117" s="97" t="s">
        <v>4707</v>
      </c>
    </row>
    <row r="118" spans="1:3" ht="12.75" customHeight="1" x14ac:dyDescent="0.35"/>
    <row r="119" spans="1:3" ht="12.75" customHeight="1" x14ac:dyDescent="0.35">
      <c r="C119" s="97" t="s">
        <v>4708</v>
      </c>
    </row>
    <row r="120" spans="1:3" ht="12.75" customHeight="1" x14ac:dyDescent="0.35">
      <c r="C120" s="97" t="s">
        <v>4709</v>
      </c>
    </row>
  </sheetData>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pageSetUpPr autoPageBreaks="0" fitToPage="1"/>
  </sheetPr>
  <dimension ref="C1:D120"/>
  <sheetViews>
    <sheetView workbookViewId="0">
      <selection activeCell="G29" sqref="G29"/>
    </sheetView>
  </sheetViews>
  <sheetFormatPr defaultColWidth="9.1796875" defaultRowHeight="14.5" x14ac:dyDescent="0.35"/>
  <cols>
    <col min="1" max="1" width="9.1796875" style="97"/>
    <col min="2" max="2" width="8.54296875" style="97" customWidth="1"/>
    <col min="3" max="16384" width="9.1796875" style="97"/>
  </cols>
  <sheetData>
    <row r="1" spans="3:4" ht="12.75" customHeight="1" x14ac:dyDescent="0.35"/>
    <row r="2" spans="3:4" ht="12.75" customHeight="1" x14ac:dyDescent="0.35"/>
    <row r="3" spans="3:4" ht="12.75" customHeight="1" x14ac:dyDescent="0.35"/>
    <row r="4" spans="3:4" ht="12.75" customHeight="1" x14ac:dyDescent="0.35">
      <c r="D4" s="97" t="s">
        <v>4710</v>
      </c>
    </row>
    <row r="5" spans="3:4" ht="12.75" customHeight="1" x14ac:dyDescent="0.35"/>
    <row r="6" spans="3:4" ht="12.75" customHeight="1" x14ac:dyDescent="0.35">
      <c r="C6" s="159" t="s">
        <v>3086</v>
      </c>
    </row>
    <row r="7" spans="3:4" ht="12.75" customHeight="1" x14ac:dyDescent="0.35"/>
    <row r="8" spans="3:4" ht="12.75" customHeight="1" x14ac:dyDescent="0.35">
      <c r="C8" s="97" t="s">
        <v>4711</v>
      </c>
    </row>
    <row r="9" spans="3:4" ht="12.75" customHeight="1" x14ac:dyDescent="0.35">
      <c r="C9" s="97" t="s">
        <v>4712</v>
      </c>
    </row>
    <row r="10" spans="3:4" ht="12.75" customHeight="1" x14ac:dyDescent="0.35">
      <c r="C10" s="159" t="s">
        <v>5539</v>
      </c>
    </row>
    <row r="11" spans="3:4" ht="12.75" customHeight="1" x14ac:dyDescent="0.35">
      <c r="C11" s="97" t="s">
        <v>4713</v>
      </c>
    </row>
    <row r="12" spans="3:4" ht="12.75" customHeight="1" x14ac:dyDescent="0.35">
      <c r="C12" s="97" t="s">
        <v>4714</v>
      </c>
    </row>
    <row r="13" spans="3:4" ht="12.75" customHeight="1" x14ac:dyDescent="0.35">
      <c r="C13" s="97" t="s">
        <v>4715</v>
      </c>
    </row>
    <row r="14" spans="3:4" ht="12.75" customHeight="1" x14ac:dyDescent="0.35">
      <c r="C14" s="97" t="s">
        <v>4716</v>
      </c>
    </row>
    <row r="15" spans="3:4" ht="12.75" customHeight="1" x14ac:dyDescent="0.35">
      <c r="C15" s="97" t="s">
        <v>4717</v>
      </c>
    </row>
    <row r="16" spans="3:4" ht="12.75" customHeight="1" x14ac:dyDescent="0.35">
      <c r="C16" s="97" t="s">
        <v>4718</v>
      </c>
    </row>
    <row r="17" spans="3:3" ht="12.75" customHeight="1" x14ac:dyDescent="0.35"/>
    <row r="18" spans="3:3" ht="12.75" customHeight="1" x14ac:dyDescent="0.35">
      <c r="C18" s="97" t="s">
        <v>4719</v>
      </c>
    </row>
    <row r="19" spans="3:3" ht="12.75" customHeight="1" x14ac:dyDescent="0.35">
      <c r="C19" s="97" t="s">
        <v>4720</v>
      </c>
    </row>
    <row r="20" spans="3:3" ht="12.75" customHeight="1" x14ac:dyDescent="0.35">
      <c r="C20" s="97" t="s">
        <v>4721</v>
      </c>
    </row>
    <row r="21" spans="3:3" ht="12.75" customHeight="1" x14ac:dyDescent="0.35">
      <c r="C21" s="97" t="s">
        <v>4722</v>
      </c>
    </row>
    <row r="22" spans="3:3" ht="12.75" customHeight="1" x14ac:dyDescent="0.35"/>
    <row r="23" spans="3:3" ht="12.75" customHeight="1" x14ac:dyDescent="0.35">
      <c r="C23" s="97" t="s">
        <v>2564</v>
      </c>
    </row>
    <row r="24" spans="3:3" ht="12.75" customHeight="1" x14ac:dyDescent="0.35">
      <c r="C24" s="97" t="s">
        <v>4723</v>
      </c>
    </row>
    <row r="25" spans="3:3" ht="12.75" customHeight="1" x14ac:dyDescent="0.35">
      <c r="C25" s="97" t="s">
        <v>4724</v>
      </c>
    </row>
    <row r="26" spans="3:3" ht="12.75" customHeight="1" x14ac:dyDescent="0.35"/>
    <row r="27" spans="3:3" ht="12.75" customHeight="1" x14ac:dyDescent="0.35">
      <c r="C27" s="97" t="s">
        <v>4725</v>
      </c>
    </row>
    <row r="28" spans="3:3" ht="12.75" customHeight="1" x14ac:dyDescent="0.35">
      <c r="C28" s="97" t="s">
        <v>4726</v>
      </c>
    </row>
    <row r="29" spans="3:3" ht="12.75" customHeight="1" x14ac:dyDescent="0.35">
      <c r="C29" s="97" t="s">
        <v>4727</v>
      </c>
    </row>
    <row r="30" spans="3:3" ht="12.75" customHeight="1" x14ac:dyDescent="0.35">
      <c r="C30" s="97" t="s">
        <v>4728</v>
      </c>
    </row>
    <row r="31" spans="3:3" ht="12.75" customHeight="1" x14ac:dyDescent="0.35"/>
    <row r="32" spans="3:3" ht="12.75" customHeight="1" x14ac:dyDescent="0.35">
      <c r="C32" s="97" t="s">
        <v>4729</v>
      </c>
    </row>
    <row r="33" spans="3:3" ht="12.75" customHeight="1" x14ac:dyDescent="0.35">
      <c r="C33" s="97" t="s">
        <v>4730</v>
      </c>
    </row>
    <row r="34" spans="3:3" ht="12.75" customHeight="1" x14ac:dyDescent="0.35">
      <c r="C34" s="97" t="s">
        <v>3126</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159" t="s">
        <v>3177</v>
      </c>
    </row>
    <row r="40" spans="3:3" ht="12.75" customHeight="1" x14ac:dyDescent="0.35"/>
    <row r="41" spans="3:3" ht="12.75" customHeight="1" x14ac:dyDescent="0.35">
      <c r="C41" s="97" t="s">
        <v>3178</v>
      </c>
    </row>
    <row r="42" spans="3:3" ht="12.75" customHeight="1" x14ac:dyDescent="0.35">
      <c r="C42" s="97" t="s">
        <v>4731</v>
      </c>
    </row>
    <row r="43" spans="3:3" ht="12.75" customHeight="1" x14ac:dyDescent="0.35">
      <c r="C43" s="97" t="s">
        <v>3181</v>
      </c>
    </row>
    <row r="44" spans="3:3" ht="12.75" customHeight="1" x14ac:dyDescent="0.35">
      <c r="C44" s="97" t="s">
        <v>4732</v>
      </c>
    </row>
    <row r="45" spans="3:3" ht="12.75" customHeight="1" x14ac:dyDescent="0.35">
      <c r="C45" s="97" t="s">
        <v>4733</v>
      </c>
    </row>
    <row r="46" spans="3:3" ht="12.75" customHeight="1" x14ac:dyDescent="0.35">
      <c r="C46" s="97" t="s">
        <v>4734</v>
      </c>
    </row>
    <row r="47" spans="3:3" ht="12.75" customHeight="1" x14ac:dyDescent="0.35">
      <c r="C47" s="97" t="s">
        <v>4735</v>
      </c>
    </row>
    <row r="48" spans="3:3" ht="12.75" customHeight="1" x14ac:dyDescent="0.35">
      <c r="C48" s="97" t="s">
        <v>4736</v>
      </c>
    </row>
    <row r="49" spans="3:3" ht="12.75" customHeight="1" x14ac:dyDescent="0.35">
      <c r="C49" s="97" t="s">
        <v>4737</v>
      </c>
    </row>
    <row r="50" spans="3:3" ht="12.75" customHeight="1" x14ac:dyDescent="0.35"/>
    <row r="51" spans="3:3" ht="12.75" customHeight="1" x14ac:dyDescent="0.35">
      <c r="C51" s="97" t="s">
        <v>3211</v>
      </c>
    </row>
    <row r="52" spans="3:3" ht="12.75" customHeight="1" x14ac:dyDescent="0.35">
      <c r="C52" s="97" t="s">
        <v>3212</v>
      </c>
    </row>
    <row r="53" spans="3:3" ht="12.75" customHeight="1" x14ac:dyDescent="0.35">
      <c r="C53" s="97" t="s">
        <v>4738</v>
      </c>
    </row>
    <row r="54" spans="3:3" ht="12.75" customHeight="1" x14ac:dyDescent="0.35">
      <c r="C54" s="97" t="s">
        <v>4739</v>
      </c>
    </row>
    <row r="55" spans="3:3" ht="12.75" customHeight="1" x14ac:dyDescent="0.35">
      <c r="C55" s="97" t="s">
        <v>4740</v>
      </c>
    </row>
    <row r="56" spans="3:3" ht="12.75" customHeight="1" x14ac:dyDescent="0.35"/>
    <row r="57" spans="3:3" ht="12.75" customHeight="1" x14ac:dyDescent="0.35">
      <c r="C57" s="97" t="s">
        <v>4741</v>
      </c>
    </row>
    <row r="58" spans="3:3" ht="12.75" customHeight="1" x14ac:dyDescent="0.35"/>
    <row r="59" spans="3:3" ht="12.75" customHeight="1" x14ac:dyDescent="0.35">
      <c r="C59" s="97" t="s">
        <v>4742</v>
      </c>
    </row>
    <row r="60" spans="3:3" ht="12.75" customHeight="1" x14ac:dyDescent="0.35">
      <c r="C60" s="97" t="s">
        <v>4743</v>
      </c>
    </row>
    <row r="61" spans="3:3" ht="12.75" customHeight="1" x14ac:dyDescent="0.35">
      <c r="C61" s="97" t="s">
        <v>3065</v>
      </c>
    </row>
    <row r="62" spans="3:3" ht="12.75" customHeight="1" x14ac:dyDescent="0.35">
      <c r="C62" s="97" t="s">
        <v>4744</v>
      </c>
    </row>
    <row r="63" spans="3:3" ht="12.75" customHeight="1" x14ac:dyDescent="0.35">
      <c r="C63" s="97" t="s">
        <v>4745</v>
      </c>
    </row>
    <row r="64" spans="3:3" ht="12.75" customHeight="1" x14ac:dyDescent="0.35">
      <c r="C64" s="97" t="s">
        <v>3126</v>
      </c>
    </row>
    <row r="65" spans="3:3" ht="12.75" customHeight="1" x14ac:dyDescent="0.35">
      <c r="C65" s="97" t="s">
        <v>4746</v>
      </c>
    </row>
    <row r="66" spans="3:3" ht="12.75" customHeight="1" x14ac:dyDescent="0.35"/>
    <row r="67" spans="3:3" ht="12.75" customHeight="1" x14ac:dyDescent="0.35">
      <c r="C67" s="97" t="s">
        <v>4747</v>
      </c>
    </row>
    <row r="68" spans="3:3" ht="12.75" customHeight="1" x14ac:dyDescent="0.35">
      <c r="C68" s="97" t="s">
        <v>4748</v>
      </c>
    </row>
    <row r="69" spans="3:3" ht="12.75" customHeight="1" x14ac:dyDescent="0.35">
      <c r="C69" s="97" t="s">
        <v>4749</v>
      </c>
    </row>
    <row r="70" spans="3:3" ht="12.75" customHeight="1" x14ac:dyDescent="0.35">
      <c r="C70" s="97" t="s">
        <v>3225</v>
      </c>
    </row>
    <row r="71" spans="3:3" ht="12.75" customHeight="1" x14ac:dyDescent="0.35">
      <c r="C71" s="97" t="s">
        <v>3221</v>
      </c>
    </row>
    <row r="72" spans="3:3" ht="12.75" customHeight="1" x14ac:dyDescent="0.35">
      <c r="C72" s="97" t="s">
        <v>4750</v>
      </c>
    </row>
    <row r="73" spans="3:3" ht="12.75" customHeight="1" x14ac:dyDescent="0.35">
      <c r="C73" s="97" t="s">
        <v>4751</v>
      </c>
    </row>
    <row r="74" spans="3:3" ht="12.75" customHeight="1" x14ac:dyDescent="0.35"/>
    <row r="75" spans="3:3" ht="12.75" customHeight="1" x14ac:dyDescent="0.35">
      <c r="C75" s="97" t="s">
        <v>3140</v>
      </c>
    </row>
    <row r="76" spans="3:3" ht="12.75" customHeight="1" x14ac:dyDescent="0.35">
      <c r="C76" s="97" t="s">
        <v>4752</v>
      </c>
    </row>
    <row r="77" spans="3:3" ht="12.75" customHeight="1" x14ac:dyDescent="0.35">
      <c r="C77" s="97" t="s">
        <v>4753</v>
      </c>
    </row>
    <row r="78" spans="3:3" ht="12.75" customHeight="1" x14ac:dyDescent="0.35">
      <c r="C78" s="97" t="s">
        <v>4754</v>
      </c>
    </row>
    <row r="79" spans="3:3" ht="12.75" customHeight="1" x14ac:dyDescent="0.35">
      <c r="C79" s="97" t="s">
        <v>4755</v>
      </c>
    </row>
    <row r="80" spans="3:3" ht="12.75" customHeight="1" x14ac:dyDescent="0.35"/>
    <row r="81" spans="3:3" ht="12.75" customHeight="1" x14ac:dyDescent="0.35">
      <c r="C81" s="97" t="s">
        <v>4756</v>
      </c>
    </row>
    <row r="82" spans="3:3" ht="12.75" customHeight="1" x14ac:dyDescent="0.35"/>
    <row r="83" spans="3:3" ht="12.75" customHeight="1" x14ac:dyDescent="0.35">
      <c r="C83" s="97" t="s">
        <v>4757</v>
      </c>
    </row>
    <row r="84" spans="3:3" ht="12.75" customHeight="1" x14ac:dyDescent="0.35"/>
    <row r="85" spans="3:3" ht="12.75" customHeight="1" x14ac:dyDescent="0.35">
      <c r="C85" s="159" t="s">
        <v>3148</v>
      </c>
    </row>
    <row r="86" spans="3:3" ht="12.75" customHeight="1" x14ac:dyDescent="0.35"/>
    <row r="87" spans="3:3" ht="12.75" customHeight="1" x14ac:dyDescent="0.35">
      <c r="C87" s="97" t="s">
        <v>4758</v>
      </c>
    </row>
    <row r="88" spans="3:3" ht="12.75" customHeight="1" x14ac:dyDescent="0.35">
      <c r="C88" s="97" t="s">
        <v>4759</v>
      </c>
    </row>
    <row r="89" spans="3:3" ht="12.75" customHeight="1" x14ac:dyDescent="0.35">
      <c r="C89" s="97" t="s">
        <v>4760</v>
      </c>
    </row>
    <row r="90" spans="3:3" ht="12.75" customHeight="1" x14ac:dyDescent="0.35">
      <c r="C90" s="97" t="s">
        <v>4720</v>
      </c>
    </row>
    <row r="91" spans="3:3" ht="12.75" customHeight="1" x14ac:dyDescent="0.35">
      <c r="C91" s="97" t="s">
        <v>4761</v>
      </c>
    </row>
    <row r="92" spans="3:3" ht="12.75" customHeight="1" x14ac:dyDescent="0.35">
      <c r="C92" s="97" t="s">
        <v>2564</v>
      </c>
    </row>
    <row r="93" spans="3:3" ht="12.75" customHeight="1" x14ac:dyDescent="0.35">
      <c r="C93" s="97" t="s">
        <v>4762</v>
      </c>
    </row>
    <row r="94" spans="3:3" ht="12.75" customHeight="1" x14ac:dyDescent="0.35">
      <c r="C94" s="97" t="s">
        <v>3150</v>
      </c>
    </row>
    <row r="95" spans="3:3" ht="12.75" customHeight="1" x14ac:dyDescent="0.35">
      <c r="C95" s="97" t="s">
        <v>4758</v>
      </c>
    </row>
    <row r="96" spans="3:3" ht="12.75" customHeight="1" x14ac:dyDescent="0.35">
      <c r="C96" s="97" t="s">
        <v>4763</v>
      </c>
    </row>
    <row r="97" spans="3:3" ht="12.75" customHeight="1" x14ac:dyDescent="0.35">
      <c r="C97" s="97" t="s">
        <v>4764</v>
      </c>
    </row>
    <row r="98" spans="3:3" ht="12.75" customHeight="1" x14ac:dyDescent="0.35"/>
    <row r="99" spans="3:3" ht="12.75" customHeight="1" x14ac:dyDescent="0.35">
      <c r="C99" s="97" t="s">
        <v>4765</v>
      </c>
    </row>
    <row r="100" spans="3:3" ht="12.75" customHeight="1" x14ac:dyDescent="0.35">
      <c r="C100" s="97" t="s">
        <v>4766</v>
      </c>
    </row>
    <row r="101" spans="3:3" ht="12.75" customHeight="1" x14ac:dyDescent="0.35">
      <c r="C101" s="97" t="s">
        <v>4767</v>
      </c>
    </row>
    <row r="102" spans="3:3" ht="12.75" customHeight="1" x14ac:dyDescent="0.35">
      <c r="C102" s="97" t="s">
        <v>4768</v>
      </c>
    </row>
    <row r="103" spans="3:3" ht="12.75" customHeight="1" x14ac:dyDescent="0.35">
      <c r="C103" s="97" t="s">
        <v>4769</v>
      </c>
    </row>
    <row r="104" spans="3:3" ht="12.75" customHeight="1" x14ac:dyDescent="0.35">
      <c r="C104" s="97" t="s">
        <v>4770</v>
      </c>
    </row>
    <row r="105" spans="3:3" ht="12.75" customHeight="1" x14ac:dyDescent="0.35">
      <c r="C105" s="97" t="s">
        <v>4771</v>
      </c>
    </row>
    <row r="106" spans="3:3" ht="12.75" customHeight="1" x14ac:dyDescent="0.35">
      <c r="C106" s="97" t="s">
        <v>4772</v>
      </c>
    </row>
    <row r="107" spans="3:3" ht="12.75" customHeight="1" x14ac:dyDescent="0.35">
      <c r="C107" s="97" t="s">
        <v>4765</v>
      </c>
    </row>
    <row r="108" spans="3:3" ht="12.75" customHeight="1" x14ac:dyDescent="0.35"/>
    <row r="109" spans="3:3" ht="12.75" customHeight="1" x14ac:dyDescent="0.35">
      <c r="C109" s="97" t="s">
        <v>4773</v>
      </c>
    </row>
    <row r="110" spans="3:3" ht="12.75" customHeight="1" x14ac:dyDescent="0.35"/>
    <row r="111" spans="3:3" ht="12.75" customHeight="1" x14ac:dyDescent="0.35">
      <c r="C111" s="97" t="s">
        <v>4774</v>
      </c>
    </row>
    <row r="112" spans="3:3" ht="12.75" customHeight="1" x14ac:dyDescent="0.35">
      <c r="C112" s="97" t="s">
        <v>4775</v>
      </c>
    </row>
    <row r="113" spans="3:3" ht="12.75" customHeight="1" x14ac:dyDescent="0.35">
      <c r="C113" s="97" t="s">
        <v>4776</v>
      </c>
    </row>
    <row r="114" spans="3:3" ht="12.75" customHeight="1" x14ac:dyDescent="0.35">
      <c r="C114" s="97" t="s">
        <v>4777</v>
      </c>
    </row>
    <row r="115" spans="3:3" ht="12.75" customHeight="1" x14ac:dyDescent="0.35">
      <c r="C115" s="97" t="s">
        <v>4778</v>
      </c>
    </row>
    <row r="116" spans="3:3" ht="12.75" customHeight="1" x14ac:dyDescent="0.35">
      <c r="C116" s="97" t="s">
        <v>4779</v>
      </c>
    </row>
    <row r="117" spans="3:3" ht="12.75" customHeight="1" x14ac:dyDescent="0.35">
      <c r="C117" s="97" t="s">
        <v>4774</v>
      </c>
    </row>
    <row r="119" spans="3:3" x14ac:dyDescent="0.35">
      <c r="C119" s="97" t="s">
        <v>4780</v>
      </c>
    </row>
    <row r="120" spans="3:3" x14ac:dyDescent="0.35">
      <c r="C120" s="97" t="s">
        <v>4781</v>
      </c>
    </row>
  </sheetData>
  <pageMargins left="0.35433070866141736" right="0.35433070866141736" top="0.59055118110236227" bottom="0.59055118110236227" header="0.51181102362204722" footer="0.51181102362204722"/>
  <pageSetup paperSize="9" fitToHeight="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pageSetUpPr autoPageBreaks="0"/>
  </sheetPr>
  <dimension ref="C1:D120"/>
  <sheetViews>
    <sheetView workbookViewId="0">
      <selection activeCell="G31" sqref="G3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row r="4" spans="3:4" ht="12.75" customHeight="1" x14ac:dyDescent="0.35">
      <c r="D4" s="97" t="s">
        <v>4782</v>
      </c>
    </row>
    <row r="5" spans="3:4" ht="12.75" customHeight="1" x14ac:dyDescent="0.35"/>
    <row r="6" spans="3:4" ht="12.75" customHeight="1" x14ac:dyDescent="0.35">
      <c r="C6" s="159" t="s">
        <v>5170</v>
      </c>
    </row>
    <row r="7" spans="3:4" ht="12.75" customHeight="1" x14ac:dyDescent="0.35"/>
    <row r="8" spans="3:4" ht="12.75" customHeight="1" x14ac:dyDescent="0.35">
      <c r="C8" s="97" t="s">
        <v>4783</v>
      </c>
    </row>
    <row r="9" spans="3:4" ht="12.75" customHeight="1" x14ac:dyDescent="0.35">
      <c r="C9" s="97" t="s">
        <v>4784</v>
      </c>
    </row>
    <row r="10" spans="3:4" ht="12.75" customHeight="1" x14ac:dyDescent="0.35">
      <c r="C10" s="97" t="s">
        <v>4785</v>
      </c>
    </row>
    <row r="11" spans="3:4" ht="12.75" customHeight="1" x14ac:dyDescent="0.35">
      <c r="C11" s="97" t="s">
        <v>4786</v>
      </c>
    </row>
    <row r="12" spans="3:4" ht="12.75" customHeight="1" x14ac:dyDescent="0.35">
      <c r="C12" s="97" t="s">
        <v>4787</v>
      </c>
    </row>
    <row r="13" spans="3:4" ht="12.75" customHeight="1" x14ac:dyDescent="0.35">
      <c r="C13" s="97" t="s">
        <v>3256</v>
      </c>
    </row>
    <row r="14" spans="3:4" ht="12.75" customHeight="1" x14ac:dyDescent="0.35">
      <c r="C14" s="97" t="s">
        <v>4788</v>
      </c>
    </row>
    <row r="15" spans="3:4" ht="12.75" customHeight="1" x14ac:dyDescent="0.35">
      <c r="C15" s="97" t="s">
        <v>3321</v>
      </c>
    </row>
    <row r="16" spans="3:4" ht="12.75" customHeight="1" x14ac:dyDescent="0.35">
      <c r="C16" s="97" t="s">
        <v>4789</v>
      </c>
    </row>
    <row r="17" spans="3:3" ht="12.75" customHeight="1" x14ac:dyDescent="0.35"/>
    <row r="18" spans="3:3" ht="12.75" customHeight="1" x14ac:dyDescent="0.35">
      <c r="C18" s="97" t="s">
        <v>4790</v>
      </c>
    </row>
    <row r="19" spans="3:3" ht="12.75" customHeight="1" x14ac:dyDescent="0.35">
      <c r="C19" s="97" t="s">
        <v>4791</v>
      </c>
    </row>
    <row r="20" spans="3:3" ht="12.75" customHeight="1" x14ac:dyDescent="0.35">
      <c r="C20" s="97" t="s">
        <v>4792</v>
      </c>
    </row>
    <row r="21" spans="3:3" ht="12.75" customHeight="1" x14ac:dyDescent="0.35">
      <c r="C21" s="97" t="s">
        <v>4793</v>
      </c>
    </row>
    <row r="22" spans="3:3" ht="12.75" customHeight="1" x14ac:dyDescent="0.35"/>
    <row r="23" spans="3:3" ht="12.75" customHeight="1" x14ac:dyDescent="0.35">
      <c r="C23" s="97" t="s">
        <v>4794</v>
      </c>
    </row>
    <row r="24" spans="3:3" ht="12.75" customHeight="1" x14ac:dyDescent="0.35">
      <c r="C24" s="97" t="s">
        <v>4795</v>
      </c>
    </row>
    <row r="25" spans="3:3" ht="12.75" customHeight="1" x14ac:dyDescent="0.35">
      <c r="C25" s="97" t="s">
        <v>4796</v>
      </c>
    </row>
    <row r="26" spans="3:3" ht="12.75" customHeight="1" x14ac:dyDescent="0.35"/>
    <row r="27" spans="3:3" ht="12.75" customHeight="1" x14ac:dyDescent="0.35">
      <c r="C27" s="97" t="s">
        <v>4797</v>
      </c>
    </row>
    <row r="28" spans="3:3" ht="12.75" customHeight="1" x14ac:dyDescent="0.35">
      <c r="C28" s="97" t="s">
        <v>4798</v>
      </c>
    </row>
    <row r="29" spans="3:3" ht="12.75" customHeight="1" x14ac:dyDescent="0.35">
      <c r="C29" s="97" t="s">
        <v>4799</v>
      </c>
    </row>
    <row r="30" spans="3:3" ht="12.75" customHeight="1" x14ac:dyDescent="0.35">
      <c r="C30" s="97" t="s">
        <v>4800</v>
      </c>
    </row>
    <row r="31" spans="3:3" ht="12.75" customHeight="1" x14ac:dyDescent="0.35"/>
    <row r="32" spans="3:3" ht="12.75" customHeight="1" x14ac:dyDescent="0.35">
      <c r="C32" s="97" t="s">
        <v>4801</v>
      </c>
    </row>
    <row r="33" spans="3:3" ht="12.75" customHeight="1" x14ac:dyDescent="0.35">
      <c r="C33" s="97" t="s">
        <v>4802</v>
      </c>
    </row>
    <row r="34" spans="3:3" ht="12.75" customHeight="1" x14ac:dyDescent="0.35">
      <c r="C34" s="97" t="s">
        <v>4803</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159" t="s">
        <v>3380</v>
      </c>
    </row>
    <row r="40" spans="3:3" ht="12.75" customHeight="1" x14ac:dyDescent="0.35"/>
    <row r="41" spans="3:3" ht="12.75" customHeight="1" x14ac:dyDescent="0.35">
      <c r="C41" s="97" t="s">
        <v>4804</v>
      </c>
    </row>
    <row r="42" spans="3:3" ht="12.75" customHeight="1" x14ac:dyDescent="0.35">
      <c r="C42" s="97" t="s">
        <v>4805</v>
      </c>
    </row>
    <row r="43" spans="3:3" ht="12.75" customHeight="1" x14ac:dyDescent="0.35">
      <c r="C43" s="97" t="s">
        <v>3384</v>
      </c>
    </row>
    <row r="44" spans="3:3" ht="12.75" customHeight="1" x14ac:dyDescent="0.35">
      <c r="C44" s="97" t="s">
        <v>4806</v>
      </c>
    </row>
    <row r="45" spans="3:3" ht="12.75" customHeight="1" x14ac:dyDescent="0.35">
      <c r="C45" s="97" t="s">
        <v>4807</v>
      </c>
    </row>
    <row r="46" spans="3:3" ht="12.75" customHeight="1" x14ac:dyDescent="0.35">
      <c r="C46" s="97" t="s">
        <v>4808</v>
      </c>
    </row>
    <row r="47" spans="3:3" ht="12.75" customHeight="1" x14ac:dyDescent="0.35">
      <c r="C47" s="97" t="s">
        <v>3408</v>
      </c>
    </row>
    <row r="48" spans="3:3" ht="12.75" customHeight="1" x14ac:dyDescent="0.35">
      <c r="C48" s="97" t="s">
        <v>4809</v>
      </c>
    </row>
    <row r="49" spans="3:3" ht="12.75" customHeight="1" x14ac:dyDescent="0.35">
      <c r="C49" s="97" t="s">
        <v>4810</v>
      </c>
    </row>
    <row r="50" spans="3:3" ht="12.75" customHeight="1" x14ac:dyDescent="0.35"/>
    <row r="51" spans="3:3" ht="12.75" customHeight="1" x14ac:dyDescent="0.35">
      <c r="C51" s="97" t="s">
        <v>4811</v>
      </c>
    </row>
    <row r="52" spans="3:3" ht="12.75" customHeight="1" x14ac:dyDescent="0.35">
      <c r="C52" s="97" t="s">
        <v>3343</v>
      </c>
    </row>
    <row r="53" spans="3:3" ht="12.75" customHeight="1" x14ac:dyDescent="0.35">
      <c r="C53" s="97" t="s">
        <v>4812</v>
      </c>
    </row>
    <row r="54" spans="3:3" ht="12.75" customHeight="1" x14ac:dyDescent="0.35">
      <c r="C54" s="97" t="s">
        <v>4813</v>
      </c>
    </row>
    <row r="55" spans="3:3" ht="12.75" customHeight="1" x14ac:dyDescent="0.35">
      <c r="C55" s="97" t="s">
        <v>4814</v>
      </c>
    </row>
    <row r="56" spans="3:3" ht="12.75" customHeight="1" x14ac:dyDescent="0.35"/>
    <row r="57" spans="3:3" ht="12.75" customHeight="1" x14ac:dyDescent="0.35">
      <c r="C57" s="97" t="s">
        <v>4815</v>
      </c>
    </row>
    <row r="58" spans="3:3" ht="12.75" customHeight="1" x14ac:dyDescent="0.35"/>
    <row r="59" spans="3:3" ht="12.75" customHeight="1" x14ac:dyDescent="0.35">
      <c r="C59" s="97" t="s">
        <v>4816</v>
      </c>
    </row>
    <row r="60" spans="3:3" ht="12.75" customHeight="1" x14ac:dyDescent="0.35">
      <c r="C60" s="97" t="s">
        <v>4817</v>
      </c>
    </row>
    <row r="61" spans="3:3" ht="12.75" customHeight="1" x14ac:dyDescent="0.35">
      <c r="C61" s="97" t="s">
        <v>4818</v>
      </c>
    </row>
    <row r="62" spans="3:3" ht="12.75" customHeight="1" x14ac:dyDescent="0.35">
      <c r="C62" s="97" t="s">
        <v>4819</v>
      </c>
    </row>
    <row r="63" spans="3:3" ht="12.75" customHeight="1" x14ac:dyDescent="0.35">
      <c r="C63" s="97" t="s">
        <v>4820</v>
      </c>
    </row>
    <row r="64" spans="3:3" ht="12.75" customHeight="1" x14ac:dyDescent="0.35">
      <c r="C64" s="97" t="s">
        <v>3314</v>
      </c>
    </row>
    <row r="65" spans="3:3" ht="12.75" customHeight="1" x14ac:dyDescent="0.35">
      <c r="C65" s="97" t="s">
        <v>3424</v>
      </c>
    </row>
    <row r="66" spans="3:3" ht="12.75" customHeight="1" x14ac:dyDescent="0.35"/>
    <row r="67" spans="3:3" ht="12.75" customHeight="1" x14ac:dyDescent="0.35">
      <c r="C67" s="97" t="s">
        <v>4821</v>
      </c>
    </row>
    <row r="68" spans="3:3" ht="12.75" customHeight="1" x14ac:dyDescent="0.35">
      <c r="C68" s="97" t="s">
        <v>4822</v>
      </c>
    </row>
    <row r="69" spans="3:3" ht="12.75" customHeight="1" x14ac:dyDescent="0.35">
      <c r="C69" s="97" t="s">
        <v>4823</v>
      </c>
    </row>
    <row r="70" spans="3:3" ht="12.75" customHeight="1" x14ac:dyDescent="0.35">
      <c r="C70" s="97" t="s">
        <v>3430</v>
      </c>
    </row>
    <row r="71" spans="3:3" ht="12.75" customHeight="1" x14ac:dyDescent="0.35">
      <c r="C71" s="97" t="s">
        <v>4824</v>
      </c>
    </row>
    <row r="72" spans="3:3" ht="12.75" customHeight="1" x14ac:dyDescent="0.35">
      <c r="C72" s="97" t="s">
        <v>4825</v>
      </c>
    </row>
    <row r="73" spans="3:3" ht="12.75" customHeight="1" x14ac:dyDescent="0.35">
      <c r="C73" s="97" t="s">
        <v>4826</v>
      </c>
    </row>
    <row r="74" spans="3:3" ht="12.75" customHeight="1" x14ac:dyDescent="0.35"/>
    <row r="75" spans="3:3" ht="12.75" customHeight="1" x14ac:dyDescent="0.35">
      <c r="C75" s="97" t="s">
        <v>4827</v>
      </c>
    </row>
    <row r="76" spans="3:3" ht="12.75" customHeight="1" x14ac:dyDescent="0.35">
      <c r="C76" s="97" t="s">
        <v>4828</v>
      </c>
    </row>
    <row r="77" spans="3:3" ht="12.75" customHeight="1" x14ac:dyDescent="0.35">
      <c r="C77" s="97" t="s">
        <v>4829</v>
      </c>
    </row>
    <row r="78" spans="3:3" ht="12.75" customHeight="1" x14ac:dyDescent="0.35">
      <c r="C78" s="97" t="s">
        <v>4830</v>
      </c>
    </row>
    <row r="79" spans="3:3" ht="12.75" customHeight="1" x14ac:dyDescent="0.35">
      <c r="C79" s="97" t="s">
        <v>4831</v>
      </c>
    </row>
    <row r="80" spans="3:3" ht="12.75" customHeight="1" x14ac:dyDescent="0.35"/>
    <row r="81" spans="3:3" ht="12.75" customHeight="1" x14ac:dyDescent="0.35">
      <c r="C81" s="97" t="s">
        <v>4832</v>
      </c>
    </row>
    <row r="82" spans="3:3" ht="12.75" customHeight="1" x14ac:dyDescent="0.35"/>
    <row r="83" spans="3:3" ht="12.75" customHeight="1" x14ac:dyDescent="0.35">
      <c r="C83" s="97" t="s">
        <v>4815</v>
      </c>
    </row>
    <row r="84" spans="3:3" ht="12.75" customHeight="1" x14ac:dyDescent="0.35"/>
    <row r="85" spans="3:3" ht="12.75" customHeight="1" x14ac:dyDescent="0.35">
      <c r="C85" s="159" t="s">
        <v>5171</v>
      </c>
    </row>
    <row r="86" spans="3:3" ht="12.75" customHeight="1" x14ac:dyDescent="0.35"/>
    <row r="87" spans="3:3" ht="12.75" customHeight="1" x14ac:dyDescent="0.35">
      <c r="C87" s="97" t="s">
        <v>4833</v>
      </c>
    </row>
    <row r="88" spans="3:3" ht="12.75" customHeight="1" x14ac:dyDescent="0.35">
      <c r="C88" s="97" t="s">
        <v>4834</v>
      </c>
    </row>
    <row r="89" spans="3:3" ht="12.75" customHeight="1" x14ac:dyDescent="0.35">
      <c r="C89" s="97" t="s">
        <v>4835</v>
      </c>
    </row>
    <row r="90" spans="3:3" ht="12.75" customHeight="1" x14ac:dyDescent="0.35">
      <c r="C90" s="97" t="s">
        <v>4836</v>
      </c>
    </row>
    <row r="91" spans="3:3" ht="12.75" customHeight="1" x14ac:dyDescent="0.35">
      <c r="C91" s="97" t="s">
        <v>4837</v>
      </c>
    </row>
    <row r="92" spans="3:3" ht="12.75" customHeight="1" x14ac:dyDescent="0.35">
      <c r="C92" s="97" t="s">
        <v>4838</v>
      </c>
    </row>
    <row r="93" spans="3:3" ht="12.75" customHeight="1" x14ac:dyDescent="0.35">
      <c r="C93" s="97" t="s">
        <v>4839</v>
      </c>
    </row>
    <row r="94" spans="3:3" ht="12.75" customHeight="1" x14ac:dyDescent="0.35">
      <c r="C94" s="97" t="s">
        <v>4840</v>
      </c>
    </row>
    <row r="95" spans="3:3" ht="12.75" customHeight="1" x14ac:dyDescent="0.35">
      <c r="C95" s="97" t="s">
        <v>4841</v>
      </c>
    </row>
    <row r="96" spans="3:3" ht="12.75" customHeight="1" x14ac:dyDescent="0.35">
      <c r="C96" s="97" t="s">
        <v>4842</v>
      </c>
    </row>
    <row r="97" spans="3:3" ht="12.75" customHeight="1" x14ac:dyDescent="0.35">
      <c r="C97" s="97" t="s">
        <v>4843</v>
      </c>
    </row>
    <row r="98" spans="3:3" ht="12.75" customHeight="1" x14ac:dyDescent="0.35"/>
    <row r="99" spans="3:3" ht="12.75" customHeight="1" x14ac:dyDescent="0.35">
      <c r="C99" s="97" t="s">
        <v>4844</v>
      </c>
    </row>
    <row r="100" spans="3:3" ht="12.75" customHeight="1" x14ac:dyDescent="0.35">
      <c r="C100" s="97" t="s">
        <v>4845</v>
      </c>
    </row>
    <row r="101" spans="3:3" ht="12.75" customHeight="1" x14ac:dyDescent="0.35">
      <c r="C101" s="97" t="s">
        <v>4846</v>
      </c>
    </row>
    <row r="102" spans="3:3" ht="12.75" customHeight="1" x14ac:dyDescent="0.35">
      <c r="C102" s="97" t="s">
        <v>4847</v>
      </c>
    </row>
    <row r="103" spans="3:3" ht="12.75" customHeight="1" x14ac:dyDescent="0.35">
      <c r="C103" s="97" t="s">
        <v>4848</v>
      </c>
    </row>
    <row r="104" spans="3:3" ht="12.75" customHeight="1" x14ac:dyDescent="0.35">
      <c r="C104" s="97" t="s">
        <v>4849</v>
      </c>
    </row>
    <row r="105" spans="3:3" ht="12.75" customHeight="1" x14ac:dyDescent="0.35">
      <c r="C105" s="97" t="s">
        <v>4850</v>
      </c>
    </row>
    <row r="106" spans="3:3" ht="12.75" customHeight="1" x14ac:dyDescent="0.35">
      <c r="C106" s="97" t="s">
        <v>4851</v>
      </c>
    </row>
    <row r="107" spans="3:3" ht="12.75" customHeight="1" x14ac:dyDescent="0.35">
      <c r="C107" s="97" t="s">
        <v>4852</v>
      </c>
    </row>
    <row r="108" spans="3:3" ht="12.75" customHeight="1" x14ac:dyDescent="0.35"/>
    <row r="109" spans="3:3" ht="12.75" customHeight="1" x14ac:dyDescent="0.35">
      <c r="C109" s="97" t="s">
        <v>4853</v>
      </c>
    </row>
    <row r="110" spans="3:3" ht="12.75" customHeight="1" x14ac:dyDescent="0.35"/>
    <row r="111" spans="3:3" ht="12.75" customHeight="1" x14ac:dyDescent="0.35">
      <c r="C111" s="97" t="s">
        <v>4854</v>
      </c>
    </row>
    <row r="112" spans="3:3" ht="12.75" customHeight="1" x14ac:dyDescent="0.35">
      <c r="C112" s="97" t="s">
        <v>4855</v>
      </c>
    </row>
    <row r="113" spans="3:3" ht="12.75" customHeight="1" x14ac:dyDescent="0.35">
      <c r="C113" s="97" t="s">
        <v>4856</v>
      </c>
    </row>
    <row r="114" spans="3:3" ht="12.75" customHeight="1" x14ac:dyDescent="0.35">
      <c r="C114" s="97" t="s">
        <v>4857</v>
      </c>
    </row>
    <row r="115" spans="3:3" ht="12.75" customHeight="1" x14ac:dyDescent="0.35">
      <c r="C115" s="97" t="s">
        <v>4858</v>
      </c>
    </row>
    <row r="116" spans="3:3" ht="12.75" customHeight="1" x14ac:dyDescent="0.35">
      <c r="C116" s="97" t="s">
        <v>4859</v>
      </c>
    </row>
    <row r="117" spans="3:3" ht="12.75" customHeight="1" x14ac:dyDescent="0.35">
      <c r="C117" s="97" t="s">
        <v>4860</v>
      </c>
    </row>
    <row r="119" spans="3:3" x14ac:dyDescent="0.35">
      <c r="C119" s="97" t="s">
        <v>4861</v>
      </c>
    </row>
    <row r="120" spans="3:3" x14ac:dyDescent="0.35">
      <c r="C120" s="97" t="s">
        <v>4862</v>
      </c>
    </row>
  </sheetData>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M494"/>
  <sheetViews>
    <sheetView showGridLines="0" showRowColHeaders="0" showOutlineSymbols="0" zoomScaleNormal="100" workbookViewId="0">
      <selection activeCell="F179" sqref="F179"/>
    </sheetView>
  </sheetViews>
  <sheetFormatPr defaultColWidth="9.1796875" defaultRowHeight="14.5" x14ac:dyDescent="0.35"/>
  <cols>
    <col min="1" max="1" width="6.7265625" style="168" customWidth="1"/>
    <col min="2" max="3" width="0.81640625" style="5" customWidth="1"/>
    <col min="4" max="4" width="30.7265625" style="5" customWidth="1"/>
    <col min="5" max="5" width="6.1796875" style="5" customWidth="1"/>
    <col min="6" max="10" width="11.7265625" style="5" customWidth="1"/>
    <col min="11" max="12" width="0.81640625" style="5" customWidth="1"/>
    <col min="13" max="16384" width="9.1796875" style="5"/>
  </cols>
  <sheetData>
    <row r="1" spans="1:13" ht="5.15" customHeight="1" x14ac:dyDescent="0.35">
      <c r="A1" s="660" t="s">
        <v>42</v>
      </c>
      <c r="B1" s="654"/>
      <c r="C1" s="654"/>
      <c r="D1" s="777" t="str">
        <f>""&amp;IF(AFactor2&lt;=3,D5,D7)</f>
        <v xml:space="preserve"> Discount factor</v>
      </c>
      <c r="E1" s="654"/>
      <c r="F1" s="794">
        <f>IF(AFactor2&lt;=5,F5,F7)</f>
        <v>2.2000000000000002</v>
      </c>
      <c r="G1" s="794">
        <f>IF(AFactor2&lt;=5,G5,G7)</f>
        <v>2.4750000000000001</v>
      </c>
      <c r="H1" s="794">
        <f>IF(AFactor2&lt;=5,H5,H7)</f>
        <v>2.75</v>
      </c>
      <c r="I1" s="794">
        <f>IF(AFactor2&lt;=5,I5,I7)</f>
        <v>3.0249999999999999</v>
      </c>
      <c r="J1" s="794">
        <f>IF(AFactor2&lt;=5,J5,J7)</f>
        <v>3.3</v>
      </c>
      <c r="K1" s="654"/>
      <c r="L1" s="654"/>
      <c r="M1" s="782"/>
    </row>
    <row r="2" spans="1:13" ht="5.15" customHeight="1" x14ac:dyDescent="0.35">
      <c r="A2" s="779" t="s">
        <v>1925</v>
      </c>
      <c r="B2" s="795"/>
      <c r="C2" s="795"/>
      <c r="D2" s="795"/>
      <c r="E2" s="795"/>
      <c r="F2" s="795"/>
      <c r="G2" s="795"/>
      <c r="H2" s="795"/>
      <c r="I2" s="795"/>
      <c r="J2" s="795"/>
      <c r="K2" s="795"/>
      <c r="L2" s="795"/>
      <c r="M2" s="782"/>
    </row>
    <row r="3" spans="1:13" ht="15" customHeight="1" x14ac:dyDescent="0.35">
      <c r="A3" s="779" t="s">
        <v>1925</v>
      </c>
      <c r="B3" s="795"/>
      <c r="C3" s="796" t="s">
        <v>1926</v>
      </c>
      <c r="D3" s="797"/>
      <c r="E3" s="797"/>
      <c r="F3" s="797"/>
      <c r="G3" s="797"/>
      <c r="H3" s="797"/>
      <c r="I3" s="797"/>
      <c r="J3" s="797"/>
      <c r="K3" s="798"/>
      <c r="L3" s="795"/>
      <c r="M3" s="782"/>
    </row>
    <row r="4" spans="1:13" ht="5.15" customHeight="1" x14ac:dyDescent="0.35">
      <c r="A4" s="779"/>
      <c r="B4" s="795"/>
      <c r="C4" s="799"/>
      <c r="D4" s="800"/>
      <c r="E4" s="800"/>
      <c r="F4" s="800"/>
      <c r="G4" s="800"/>
      <c r="H4" s="800"/>
      <c r="I4" s="800"/>
      <c r="J4" s="800"/>
      <c r="K4" s="801"/>
      <c r="L4" s="795"/>
      <c r="M4" s="782"/>
    </row>
    <row r="5" spans="1:13" ht="12.75" customHeight="1" x14ac:dyDescent="0.35">
      <c r="A5" s="660">
        <v>2.75</v>
      </c>
      <c r="B5" s="795"/>
      <c r="C5" s="802"/>
      <c r="D5" s="803" t="s">
        <v>1927</v>
      </c>
      <c r="E5" s="804"/>
      <c r="F5" s="805">
        <f>$H5-($H5*0.2)</f>
        <v>2.2000000000000002</v>
      </c>
      <c r="G5" s="806">
        <f>$H5-($H5*0.1)</f>
        <v>2.4750000000000001</v>
      </c>
      <c r="H5" s="807">
        <f>DiscYear</f>
        <v>2.75</v>
      </c>
      <c r="I5" s="806">
        <f>$H5+($H5*0.1)</f>
        <v>3.0249999999999999</v>
      </c>
      <c r="J5" s="808">
        <f>$H5+($H5*0.2)</f>
        <v>3.3</v>
      </c>
      <c r="K5" s="809"/>
      <c r="L5" s="795"/>
      <c r="M5" s="782"/>
    </row>
    <row r="6" spans="1:13" ht="12.75" customHeight="1" x14ac:dyDescent="0.35">
      <c r="A6" s="660">
        <v>0</v>
      </c>
      <c r="B6" s="795"/>
      <c r="C6" s="802"/>
      <c r="D6" s="810" t="s">
        <v>1928</v>
      </c>
      <c r="E6" s="811"/>
      <c r="F6" s="812">
        <f>(F5-$H5)/IF($H5=0,0.00001,$H5)*100</f>
        <v>-19.999999999999993</v>
      </c>
      <c r="G6" s="813">
        <f>(G5-$H5)/IF($H5=0,0.00001,$H5)*100</f>
        <v>-9.9999999999999964</v>
      </c>
      <c r="H6" s="814">
        <v>0</v>
      </c>
      <c r="I6" s="813">
        <f>(I5-$H5)/IF($H5=0,0.00001,$H5)*100</f>
        <v>9.9999999999999964</v>
      </c>
      <c r="J6" s="815">
        <f>(J5-$H5)/IF($H5=0,0.00001,$H5)*100</f>
        <v>19.999999999999993</v>
      </c>
      <c r="K6" s="809"/>
      <c r="L6" s="795"/>
      <c r="M6" s="782"/>
    </row>
    <row r="7" spans="1:13" ht="15.5" hidden="1" x14ac:dyDescent="0.35">
      <c r="A7" s="660">
        <v>0</v>
      </c>
      <c r="B7" s="795"/>
      <c r="C7" s="802"/>
      <c r="D7" s="803" t="s">
        <v>1929</v>
      </c>
      <c r="E7" s="804"/>
      <c r="F7" s="805">
        <f>$H7-($H7*0.2)</f>
        <v>0</v>
      </c>
      <c r="G7" s="806">
        <f>$H7-($H7*0.1)</f>
        <v>0</v>
      </c>
      <c r="H7" s="1219">
        <f>DiscYearEquity</f>
        <v>0</v>
      </c>
      <c r="I7" s="806">
        <f>$H7+($H7*0.1)</f>
        <v>0</v>
      </c>
      <c r="J7" s="808">
        <f>$H7+($H7*0.2)</f>
        <v>0</v>
      </c>
      <c r="K7" s="809"/>
      <c r="L7" s="795"/>
      <c r="M7" s="782"/>
    </row>
    <row r="8" spans="1:13" ht="15.5" hidden="1" x14ac:dyDescent="0.35">
      <c r="A8" s="660">
        <v>0</v>
      </c>
      <c r="B8" s="795"/>
      <c r="C8" s="802"/>
      <c r="D8" s="810" t="str">
        <f>$D$6</f>
        <v xml:space="preserve"> Change, %</v>
      </c>
      <c r="E8" s="811"/>
      <c r="F8" s="812">
        <f>(F7-$H7)/IF($H7=0,0.00001,$H7)*100</f>
        <v>0</v>
      </c>
      <c r="G8" s="813">
        <f>(G7-$H7)/IF($H7=0,0.00001,$H7)*100</f>
        <v>0</v>
      </c>
      <c r="H8" s="813">
        <v>0</v>
      </c>
      <c r="I8" s="813">
        <f>(I7-$H7)/IF($H7=0,0.00001,$H7)*100</f>
        <v>0</v>
      </c>
      <c r="J8" s="815">
        <f>(J7-$H7)/IF($H7=0,0.00001,$H7)*100</f>
        <v>0</v>
      </c>
      <c r="K8" s="809"/>
      <c r="L8" s="795"/>
      <c r="M8" s="782"/>
    </row>
    <row r="9" spans="1:13" ht="16" customHeight="1" x14ac:dyDescent="0.35">
      <c r="A9" s="660">
        <v>12348686.255399536</v>
      </c>
      <c r="B9" s="795"/>
      <c r="C9" s="802"/>
      <c r="D9" s="816" t="str">
        <f>" "&amp;INDEX(AFactorList2,AFactor2)</f>
        <v xml:space="preserve"> Net Present Value (NPV)</v>
      </c>
      <c r="E9" s="817"/>
      <c r="F9" s="1226">
        <v>12720926.022828903</v>
      </c>
      <c r="G9" s="1227">
        <v>12533386.900070177</v>
      </c>
      <c r="H9" s="1228">
        <v>12348686.255399536</v>
      </c>
      <c r="I9" s="1229">
        <v>12166772.503094522</v>
      </c>
      <c r="J9" s="1230">
        <v>11987595.142939743</v>
      </c>
      <c r="K9" s="809"/>
      <c r="L9" s="795"/>
      <c r="M9" s="782"/>
    </row>
    <row r="10" spans="1:13" ht="15.5" hidden="1" x14ac:dyDescent="0.35">
      <c r="A10" s="660">
        <v>12348686.255399536</v>
      </c>
      <c r="B10" s="795"/>
      <c r="C10" s="802"/>
      <c r="D10" s="818"/>
      <c r="E10" s="819"/>
      <c r="F10" s="820">
        <v>12720926.022828903</v>
      </c>
      <c r="G10" s="647">
        <v>12533386.900070177</v>
      </c>
      <c r="H10" s="647">
        <v>12348686.255399536</v>
      </c>
      <c r="I10" s="647">
        <v>12166772.503094522</v>
      </c>
      <c r="J10" s="821">
        <v>11987595.142939743</v>
      </c>
      <c r="K10" s="809"/>
      <c r="L10" s="795"/>
      <c r="M10" s="782"/>
    </row>
    <row r="11" spans="1:13" ht="15.5" hidden="1" x14ac:dyDescent="0.35">
      <c r="A11" s="660">
        <v>5.3893498684684742</v>
      </c>
      <c r="B11" s="795"/>
      <c r="C11" s="802"/>
      <c r="D11" s="818"/>
      <c r="E11" s="819"/>
      <c r="F11" s="822">
        <v>5.5149082432948804</v>
      </c>
      <c r="G11" s="649">
        <v>5.4516837974507606</v>
      </c>
      <c r="H11" s="649">
        <v>5.3893498684684742</v>
      </c>
      <c r="I11" s="649">
        <v>5.3278913929480858</v>
      </c>
      <c r="J11" s="823">
        <v>5.2672935997702854</v>
      </c>
      <c r="K11" s="809"/>
      <c r="L11" s="795"/>
      <c r="M11" s="782"/>
    </row>
    <row r="12" spans="1:13" ht="15.5" hidden="1" x14ac:dyDescent="0.35">
      <c r="A12" s="660">
        <v>12240577.31097028</v>
      </c>
      <c r="B12" s="795"/>
      <c r="C12" s="802"/>
      <c r="D12" s="818"/>
      <c r="E12" s="819"/>
      <c r="F12" s="820">
        <v>12634028.356722109</v>
      </c>
      <c r="G12" s="647">
        <v>12435859.338239463</v>
      </c>
      <c r="H12" s="647">
        <v>12240577.31097028</v>
      </c>
      <c r="I12" s="647">
        <v>12048129.813926691</v>
      </c>
      <c r="J12" s="821">
        <v>11858465.491532579</v>
      </c>
      <c r="K12" s="809"/>
      <c r="L12" s="795"/>
      <c r="M12" s="782"/>
    </row>
    <row r="13" spans="1:13" ht="15.5" hidden="1" x14ac:dyDescent="0.35">
      <c r="A13" s="660">
        <v>2.7706957805444561</v>
      </c>
      <c r="B13" s="795"/>
      <c r="C13" s="802"/>
      <c r="D13" s="818"/>
      <c r="E13" s="819"/>
      <c r="F13" s="824">
        <v>2.7518589083354894</v>
      </c>
      <c r="G13" s="651">
        <v>2.7612395206322122</v>
      </c>
      <c r="H13" s="651">
        <v>2.7706957805444561</v>
      </c>
      <c r="I13" s="651">
        <v>2.780227957218695</v>
      </c>
      <c r="J13" s="825">
        <v>2.7898363199520602</v>
      </c>
      <c r="K13" s="809"/>
      <c r="L13" s="795"/>
      <c r="M13" s="782"/>
    </row>
    <row r="14" spans="1:13" ht="15.5" hidden="1" x14ac:dyDescent="0.35">
      <c r="A14" s="660">
        <v>2.6795050765088981</v>
      </c>
      <c r="B14" s="795"/>
      <c r="C14" s="802"/>
      <c r="D14" s="818"/>
      <c r="E14" s="819"/>
      <c r="F14" s="824">
        <v>2.6795050765088981</v>
      </c>
      <c r="G14" s="651">
        <v>2.6795050765088981</v>
      </c>
      <c r="H14" s="651">
        <v>2.6795050765088981</v>
      </c>
      <c r="I14" s="651">
        <v>2.6795050765088981</v>
      </c>
      <c r="J14" s="825">
        <v>2.6795050765088981</v>
      </c>
      <c r="K14" s="809"/>
      <c r="L14" s="795"/>
      <c r="M14" s="782"/>
    </row>
    <row r="15" spans="1:13" ht="15.5" hidden="1" x14ac:dyDescent="0.35">
      <c r="A15" s="660">
        <v>14329994.434887145</v>
      </c>
      <c r="B15" s="795"/>
      <c r="C15" s="802"/>
      <c r="D15" s="818"/>
      <c r="E15" s="819"/>
      <c r="F15" s="820">
        <v>14329994.434887145</v>
      </c>
      <c r="G15" s="647">
        <v>14329994.434887145</v>
      </c>
      <c r="H15" s="647">
        <v>14329994.434887145</v>
      </c>
      <c r="I15" s="647">
        <v>14329994.434887145</v>
      </c>
      <c r="J15" s="821">
        <v>14329994.434887145</v>
      </c>
      <c r="K15" s="809"/>
      <c r="L15" s="795"/>
      <c r="M15" s="782"/>
    </row>
    <row r="16" spans="1:13" ht="15.5" hidden="1" x14ac:dyDescent="0.35">
      <c r="A16" s="660">
        <v>2.6795050765088981</v>
      </c>
      <c r="B16" s="795"/>
      <c r="C16" s="802"/>
      <c r="D16" s="818"/>
      <c r="E16" s="819"/>
      <c r="F16" s="824">
        <v>2.6795050765088981</v>
      </c>
      <c r="G16" s="651">
        <v>2.6795050765088981</v>
      </c>
      <c r="H16" s="651">
        <v>2.6795050765088981</v>
      </c>
      <c r="I16" s="651">
        <v>2.6795050765088981</v>
      </c>
      <c r="J16" s="825">
        <v>2.6795050765088981</v>
      </c>
      <c r="K16" s="809"/>
      <c r="L16" s="795"/>
      <c r="M16" s="782"/>
    </row>
    <row r="17" spans="1:13" ht="15.5" hidden="1" x14ac:dyDescent="0.35">
      <c r="A17" s="660">
        <v>2.6795050765088981</v>
      </c>
      <c r="B17" s="795"/>
      <c r="C17" s="802"/>
      <c r="D17" s="818"/>
      <c r="E17" s="819"/>
      <c r="F17" s="824">
        <v>2.6795050765088981</v>
      </c>
      <c r="G17" s="651">
        <v>2.6795050765088981</v>
      </c>
      <c r="H17" s="651">
        <v>2.6795050765088981</v>
      </c>
      <c r="I17" s="651">
        <v>2.6795050765088981</v>
      </c>
      <c r="J17" s="825">
        <v>2.6795050765088981</v>
      </c>
      <c r="K17" s="809"/>
      <c r="L17" s="795"/>
      <c r="M17" s="782"/>
    </row>
    <row r="18" spans="1:13" ht="12.75" customHeight="1" x14ac:dyDescent="0.35">
      <c r="A18" s="660">
        <v>0</v>
      </c>
      <c r="B18" s="795"/>
      <c r="C18" s="802"/>
      <c r="D18" s="826" t="str">
        <f>$D$6</f>
        <v xml:space="preserve"> Change, %</v>
      </c>
      <c r="E18" s="827"/>
      <c r="F18" s="812">
        <f>IF(AND(ISNUMBER(F9),ISNUMBER($H9)),IF($H9=0,IF(F9&lt;&gt;0,NA(),0),(F9-$H9)/ABS($H9)*100),NA())</f>
        <v>3.0144078465561686</v>
      </c>
      <c r="G18" s="813">
        <f>IF(AND(ISNUMBER(G9),ISNUMBER($H9)),IF($H9=0,IF(G9&lt;&gt;0,NA(),0),(G9-$H9)/ABS($H9)*100),NA())</f>
        <v>1.4957108865720805</v>
      </c>
      <c r="H18" s="813">
        <v>0</v>
      </c>
      <c r="I18" s="813">
        <f>IF(AND(ISNUMBER(I9),ISNUMBER($H9)),IF($H9=0,IF(I9&lt;&gt;0,NA(),0),(I9-$H9)/ABS($H9)*100),NA())</f>
        <v>-1.4731425557554447</v>
      </c>
      <c r="J18" s="815">
        <f>IF(AND(ISNUMBER(J9),ISNUMBER($H9)),IF($H9=0,IF(J9&lt;&gt;0,NA(),0),(J9-$H9)/ABS($H9)*100),NA())</f>
        <v>-2.9241257328236387</v>
      </c>
      <c r="K18" s="809"/>
      <c r="L18" s="795"/>
      <c r="M18" s="782"/>
    </row>
    <row r="19" spans="1:13" ht="12.75" customHeight="1" x14ac:dyDescent="0.35">
      <c r="A19" s="660"/>
      <c r="B19" s="795"/>
      <c r="C19" s="802"/>
      <c r="D19" s="828"/>
      <c r="E19" s="828"/>
      <c r="F19" s="828"/>
      <c r="G19" s="828"/>
      <c r="H19" s="828"/>
      <c r="I19" s="828"/>
      <c r="J19" s="828"/>
      <c r="K19" s="809"/>
      <c r="L19" s="795"/>
      <c r="M19" s="782"/>
    </row>
    <row r="20" spans="1:13" ht="12.75" customHeight="1" x14ac:dyDescent="0.35">
      <c r="A20" s="660"/>
      <c r="B20" s="795"/>
      <c r="C20" s="802"/>
      <c r="D20" s="829"/>
      <c r="E20" s="830"/>
      <c r="F20" s="830"/>
      <c r="G20" s="830"/>
      <c r="H20" s="830"/>
      <c r="I20" s="830"/>
      <c r="J20" s="830"/>
      <c r="K20" s="809"/>
      <c r="L20" s="795"/>
      <c r="M20" s="782"/>
    </row>
    <row r="21" spans="1:13" ht="12.75" customHeight="1" x14ac:dyDescent="0.35">
      <c r="A21" s="660"/>
      <c r="B21" s="795"/>
      <c r="C21" s="802"/>
      <c r="D21" s="830"/>
      <c r="E21" s="830"/>
      <c r="F21" s="830"/>
      <c r="G21" s="830"/>
      <c r="H21" s="830"/>
      <c r="I21" s="830"/>
      <c r="J21" s="830"/>
      <c r="K21" s="809"/>
      <c r="L21" s="795"/>
      <c r="M21" s="782"/>
    </row>
    <row r="22" spans="1:13" ht="12.75" customHeight="1" x14ac:dyDescent="0.35">
      <c r="A22" s="660"/>
      <c r="B22" s="795"/>
      <c r="C22" s="802"/>
      <c r="D22" s="830"/>
      <c r="E22" s="830"/>
      <c r="F22" s="830"/>
      <c r="G22" s="830"/>
      <c r="H22" s="830"/>
      <c r="I22" s="830"/>
      <c r="J22" s="830"/>
      <c r="K22" s="809"/>
      <c r="L22" s="795"/>
      <c r="M22" s="782"/>
    </row>
    <row r="23" spans="1:13" ht="12.75" customHeight="1" x14ac:dyDescent="0.35">
      <c r="A23" s="660"/>
      <c r="B23" s="795"/>
      <c r="C23" s="802"/>
      <c r="D23" s="830"/>
      <c r="E23" s="830"/>
      <c r="F23" s="830"/>
      <c r="G23" s="830"/>
      <c r="H23" s="830"/>
      <c r="I23" s="830"/>
      <c r="J23" s="830"/>
      <c r="K23" s="809"/>
      <c r="L23" s="795"/>
      <c r="M23" s="782"/>
    </row>
    <row r="24" spans="1:13" ht="12.75" customHeight="1" x14ac:dyDescent="0.35">
      <c r="A24" s="660"/>
      <c r="B24" s="795"/>
      <c r="C24" s="802"/>
      <c r="D24" s="830"/>
      <c r="E24" s="830"/>
      <c r="F24" s="830"/>
      <c r="G24" s="830"/>
      <c r="H24" s="830"/>
      <c r="I24" s="830"/>
      <c r="J24" s="830"/>
      <c r="K24" s="809"/>
      <c r="L24" s="795"/>
      <c r="M24" s="782"/>
    </row>
    <row r="25" spans="1:13" ht="12.75" customHeight="1" x14ac:dyDescent="0.35">
      <c r="A25" s="660"/>
      <c r="B25" s="795"/>
      <c r="C25" s="802"/>
      <c r="D25" s="830"/>
      <c r="E25" s="830"/>
      <c r="F25" s="830"/>
      <c r="G25" s="830"/>
      <c r="H25" s="830"/>
      <c r="I25" s="830"/>
      <c r="J25" s="830"/>
      <c r="K25" s="809"/>
      <c r="L25" s="795"/>
      <c r="M25" s="782"/>
    </row>
    <row r="26" spans="1:13" ht="12.75" customHeight="1" x14ac:dyDescent="0.35">
      <c r="A26" s="660"/>
      <c r="B26" s="795"/>
      <c r="C26" s="802"/>
      <c r="D26" s="830"/>
      <c r="E26" s="830"/>
      <c r="F26" s="830"/>
      <c r="G26" s="830"/>
      <c r="H26" s="830"/>
      <c r="I26" s="830"/>
      <c r="J26" s="830"/>
      <c r="K26" s="809"/>
      <c r="L26" s="795"/>
      <c r="M26" s="782"/>
    </row>
    <row r="27" spans="1:13" ht="12.75" customHeight="1" x14ac:dyDescent="0.35">
      <c r="A27" s="660"/>
      <c r="B27" s="795"/>
      <c r="C27" s="802"/>
      <c r="D27" s="830"/>
      <c r="E27" s="830"/>
      <c r="F27" s="830"/>
      <c r="G27" s="830"/>
      <c r="H27" s="830"/>
      <c r="I27" s="830"/>
      <c r="J27" s="830"/>
      <c r="K27" s="809"/>
      <c r="L27" s="795"/>
      <c r="M27" s="782"/>
    </row>
    <row r="28" spans="1:13" ht="12.75" customHeight="1" x14ac:dyDescent="0.35">
      <c r="A28" s="660"/>
      <c r="B28" s="795"/>
      <c r="C28" s="802"/>
      <c r="D28" s="830"/>
      <c r="E28" s="830"/>
      <c r="F28" s="830"/>
      <c r="G28" s="830"/>
      <c r="H28" s="830"/>
      <c r="I28" s="830"/>
      <c r="J28" s="830"/>
      <c r="K28" s="809"/>
      <c r="L28" s="795"/>
      <c r="M28" s="782"/>
    </row>
    <row r="29" spans="1:13" ht="12.75" customHeight="1" x14ac:dyDescent="0.35">
      <c r="A29" s="660"/>
      <c r="B29" s="795"/>
      <c r="C29" s="802"/>
      <c r="D29" s="829"/>
      <c r="E29" s="830"/>
      <c r="F29" s="830"/>
      <c r="G29" s="830"/>
      <c r="H29" s="830"/>
      <c r="I29" s="830"/>
      <c r="J29" s="830"/>
      <c r="K29" s="809"/>
      <c r="L29" s="795"/>
      <c r="M29" s="782"/>
    </row>
    <row r="30" spans="1:13" ht="12.75" customHeight="1" x14ac:dyDescent="0.35">
      <c r="A30" s="660"/>
      <c r="B30" s="795"/>
      <c r="C30" s="802"/>
      <c r="D30" s="830"/>
      <c r="E30" s="830"/>
      <c r="F30" s="830"/>
      <c r="G30" s="830"/>
      <c r="H30" s="830"/>
      <c r="I30" s="830"/>
      <c r="J30" s="830"/>
      <c r="K30" s="809"/>
      <c r="L30" s="795"/>
      <c r="M30" s="782"/>
    </row>
    <row r="31" spans="1:13" ht="12.75" customHeight="1" x14ac:dyDescent="0.35">
      <c r="A31" s="660"/>
      <c r="B31" s="795"/>
      <c r="C31" s="802"/>
      <c r="D31" s="830"/>
      <c r="E31" s="830"/>
      <c r="F31" s="830"/>
      <c r="G31" s="830"/>
      <c r="H31" s="830"/>
      <c r="I31" s="830"/>
      <c r="J31" s="830"/>
      <c r="K31" s="809"/>
      <c r="L31" s="795"/>
      <c r="M31" s="782"/>
    </row>
    <row r="32" spans="1:13" ht="12.75" customHeight="1" x14ac:dyDescent="0.35">
      <c r="A32" s="660"/>
      <c r="B32" s="795"/>
      <c r="C32" s="802"/>
      <c r="D32" s="830"/>
      <c r="E32" s="830"/>
      <c r="F32" s="830"/>
      <c r="G32" s="830"/>
      <c r="H32" s="830"/>
      <c r="I32" s="830"/>
      <c r="J32" s="830"/>
      <c r="K32" s="809"/>
      <c r="L32" s="795"/>
      <c r="M32" s="782"/>
    </row>
    <row r="33" spans="1:13" ht="16" customHeight="1" x14ac:dyDescent="0.35">
      <c r="A33" s="660"/>
      <c r="B33" s="795"/>
      <c r="C33" s="802"/>
      <c r="D33" s="831" t="str">
        <f>D78</f>
        <v xml:space="preserve"> Key financials</v>
      </c>
      <c r="E33" s="832"/>
      <c r="F33" s="833">
        <f>F1</f>
        <v>2.2000000000000002</v>
      </c>
      <c r="G33" s="834">
        <f t="shared" ref="G33:J33" si="0">G1</f>
        <v>2.4750000000000001</v>
      </c>
      <c r="H33" s="834">
        <f t="shared" si="0"/>
        <v>2.75</v>
      </c>
      <c r="I33" s="834">
        <f t="shared" si="0"/>
        <v>3.0249999999999999</v>
      </c>
      <c r="J33" s="835">
        <f t="shared" si="0"/>
        <v>3.3</v>
      </c>
      <c r="K33" s="809"/>
      <c r="L33" s="795"/>
      <c r="M33" s="782"/>
    </row>
    <row r="34" spans="1:13" ht="16" customHeight="1" x14ac:dyDescent="0.35">
      <c r="A34" s="660"/>
      <c r="B34" s="795"/>
      <c r="C34" s="802"/>
      <c r="D34" s="831" t="str">
        <f>" "&amp;INDEX(RatiosDD,Analysis06Ratio01)</f>
        <v xml:space="preserve"> EBITDA; Operating income before depreciation, Euro</v>
      </c>
      <c r="E34" s="836"/>
      <c r="F34" s="840">
        <v>363342.76835039631</v>
      </c>
      <c r="G34" s="841">
        <v>363342.76835039631</v>
      </c>
      <c r="H34" s="841">
        <v>363342.76835039631</v>
      </c>
      <c r="I34" s="841">
        <v>363342.76835039631</v>
      </c>
      <c r="J34" s="842">
        <v>363342.76835039631</v>
      </c>
      <c r="K34" s="809"/>
      <c r="L34" s="795"/>
      <c r="M34" s="782"/>
    </row>
    <row r="35" spans="1:13" ht="16" customHeight="1" x14ac:dyDescent="0.35">
      <c r="A35" s="660"/>
      <c r="B35" s="795"/>
      <c r="C35" s="802"/>
      <c r="D35" s="831" t="str">
        <f>" "&amp;INDEX(RatiosDD,Analysis06Ratio02)</f>
        <v xml:space="preserve"> EBITDA, %</v>
      </c>
      <c r="E35" s="836"/>
      <c r="F35" s="864">
        <v>9.3697948249322413E-2</v>
      </c>
      <c r="G35" s="865">
        <v>9.3697948249322413E-2</v>
      </c>
      <c r="H35" s="865">
        <v>9.3697948249322413E-2</v>
      </c>
      <c r="I35" s="865">
        <v>9.3697948249322413E-2</v>
      </c>
      <c r="J35" s="866">
        <v>9.3697948249322413E-2</v>
      </c>
      <c r="K35" s="809"/>
      <c r="L35" s="795"/>
      <c r="M35" s="782"/>
    </row>
    <row r="36" spans="1:13" ht="16" customHeight="1" x14ac:dyDescent="0.35">
      <c r="A36" s="660"/>
      <c r="B36" s="795"/>
      <c r="C36" s="802"/>
      <c r="D36" s="831" t="str">
        <f>" "&amp;INDEX(RatiosDD,Analysis06Ratio03)</f>
        <v xml:space="preserve"> EBIT; Operating income, Euro</v>
      </c>
      <c r="E36" s="836"/>
      <c r="F36" s="840">
        <v>285676.10168372968</v>
      </c>
      <c r="G36" s="841">
        <v>285676.10168372968</v>
      </c>
      <c r="H36" s="841">
        <v>285676.10168372968</v>
      </c>
      <c r="I36" s="841">
        <v>285676.10168372968</v>
      </c>
      <c r="J36" s="842">
        <v>285676.10168372968</v>
      </c>
      <c r="K36" s="809"/>
      <c r="L36" s="795"/>
      <c r="M36" s="782"/>
    </row>
    <row r="37" spans="1:13" ht="16" customHeight="1" x14ac:dyDescent="0.35">
      <c r="A37" s="660"/>
      <c r="B37" s="795"/>
      <c r="C37" s="802"/>
      <c r="D37" s="831" t="str">
        <f>" "&amp;INDEX(RatiosDD,Analysis06Ratio04)</f>
        <v xml:space="preserve"> EBIT, %</v>
      </c>
      <c r="E37" s="836"/>
      <c r="F37" s="864">
        <v>7.3669457391860801E-2</v>
      </c>
      <c r="G37" s="865">
        <v>7.3669457391860801E-2</v>
      </c>
      <c r="H37" s="865">
        <v>7.3669457391860801E-2</v>
      </c>
      <c r="I37" s="865">
        <v>7.3669457391860801E-2</v>
      </c>
      <c r="J37" s="866">
        <v>7.3669457391860801E-2</v>
      </c>
      <c r="K37" s="809"/>
      <c r="L37" s="795"/>
      <c r="M37" s="782"/>
    </row>
    <row r="38" spans="1:13" ht="16" customHeight="1" x14ac:dyDescent="0.35">
      <c r="A38" s="660"/>
      <c r="B38" s="795"/>
      <c r="C38" s="802"/>
      <c r="D38" s="831" t="str">
        <f>" "&amp;INDEX(RatiosDD,Analysis06Ratio05)</f>
        <v xml:space="preserve"> Return on net assets (RONA), %</v>
      </c>
      <c r="E38" s="836"/>
      <c r="F38" s="892">
        <v>6.893355284252442E-2</v>
      </c>
      <c r="G38" s="893">
        <v>6.893355284252442E-2</v>
      </c>
      <c r="H38" s="893">
        <v>6.893355284252442E-2</v>
      </c>
      <c r="I38" s="893">
        <v>6.893355284252442E-2</v>
      </c>
      <c r="J38" s="894">
        <v>6.893355284252442E-2</v>
      </c>
      <c r="K38" s="809"/>
      <c r="L38" s="795"/>
      <c r="M38" s="782"/>
    </row>
    <row r="39" spans="1:13" ht="16" customHeight="1" x14ac:dyDescent="0.35">
      <c r="A39" s="660"/>
      <c r="B39" s="795"/>
      <c r="C39" s="802"/>
      <c r="D39" s="831" t="str">
        <f>" "&amp;INDEX(RatiosDD,Analysis06Ratio06)</f>
        <v xml:space="preserve"> Economic Value Added (EVA), Euro</v>
      </c>
      <c r="E39" s="836"/>
      <c r="F39" s="840">
        <v>114513.85959896119</v>
      </c>
      <c r="G39" s="841">
        <v>103117.2428972957</v>
      </c>
      <c r="H39" s="841">
        <v>91720.626195630175</v>
      </c>
      <c r="I39" s="841">
        <v>80324.009493964651</v>
      </c>
      <c r="J39" s="842">
        <v>68927.392792299128</v>
      </c>
      <c r="K39" s="809"/>
      <c r="L39" s="795"/>
      <c r="M39" s="782"/>
    </row>
    <row r="40" spans="1:13" ht="5.15" customHeight="1" x14ac:dyDescent="0.35">
      <c r="A40" s="660"/>
      <c r="B40" s="795"/>
      <c r="C40" s="843"/>
      <c r="D40" s="844"/>
      <c r="E40" s="844"/>
      <c r="F40" s="844"/>
      <c r="G40" s="844"/>
      <c r="H40" s="844"/>
      <c r="I40" s="844"/>
      <c r="J40" s="844"/>
      <c r="K40" s="845"/>
      <c r="L40" s="795"/>
      <c r="M40" s="782"/>
    </row>
    <row r="41" spans="1:13" ht="5.15" customHeight="1" x14ac:dyDescent="0.35">
      <c r="A41" s="660"/>
      <c r="B41" s="282"/>
      <c r="C41" s="282"/>
      <c r="D41" s="282"/>
      <c r="E41" s="282"/>
      <c r="F41" s="282"/>
      <c r="G41" s="282"/>
      <c r="H41" s="282"/>
      <c r="I41" s="282"/>
      <c r="J41" s="282"/>
      <c r="K41" s="282"/>
      <c r="L41" s="282"/>
      <c r="M41" s="782"/>
    </row>
    <row r="42" spans="1:13" ht="12.75" customHeight="1" x14ac:dyDescent="0.35">
      <c r="A42" s="660"/>
      <c r="B42" s="282"/>
      <c r="C42" s="282"/>
      <c r="D42" s="282"/>
      <c r="E42" s="282"/>
      <c r="F42" s="282"/>
      <c r="G42" s="282"/>
      <c r="H42" s="282"/>
      <c r="I42" s="282"/>
      <c r="J42" s="282"/>
      <c r="K42" s="282"/>
      <c r="L42" s="282"/>
      <c r="M42" s="782"/>
    </row>
    <row r="43" spans="1:13" ht="5.15" customHeight="1" x14ac:dyDescent="0.35">
      <c r="A43" s="660" t="s">
        <v>1930</v>
      </c>
      <c r="B43" s="282"/>
      <c r="C43" s="282"/>
      <c r="D43" s="282"/>
      <c r="E43" s="282"/>
      <c r="F43" s="282"/>
      <c r="G43" s="282"/>
      <c r="H43" s="282"/>
      <c r="I43" s="282"/>
      <c r="J43" s="282"/>
      <c r="K43" s="282"/>
      <c r="L43" s="282"/>
      <c r="M43" s="782"/>
    </row>
    <row r="44" spans="1:13" ht="15" customHeight="1" x14ac:dyDescent="0.35">
      <c r="A44" s="660" t="s">
        <v>1930</v>
      </c>
      <c r="B44" s="795"/>
      <c r="C44" s="796" t="s">
        <v>1931</v>
      </c>
      <c r="D44" s="797"/>
      <c r="E44" s="797"/>
      <c r="F44" s="797"/>
      <c r="G44" s="797"/>
      <c r="H44" s="797"/>
      <c r="I44" s="797"/>
      <c r="J44" s="797"/>
      <c r="K44" s="798"/>
      <c r="L44" s="795"/>
      <c r="M44" s="782"/>
    </row>
    <row r="45" spans="1:13" ht="5.15" customHeight="1" x14ac:dyDescent="0.35">
      <c r="A45" s="660"/>
      <c r="B45" s="795"/>
      <c r="C45" s="802"/>
      <c r="D45" s="800"/>
      <c r="E45" s="800"/>
      <c r="F45" s="787">
        <f ca="1">1+(F47/100)</f>
        <v>0.8</v>
      </c>
      <c r="G45" s="787">
        <f ca="1">(1+(G47/100))/F45</f>
        <v>1.125</v>
      </c>
      <c r="H45" s="846"/>
      <c r="I45" s="787">
        <f ca="1">(1+(I47/100))/(1+(G47/100))</f>
        <v>1.2222222222222223</v>
      </c>
      <c r="J45" s="787">
        <f ca="1">(1+(J47/100))/(1+(I47/100))</f>
        <v>1.0909090909090908</v>
      </c>
      <c r="K45" s="809"/>
      <c r="L45" s="795"/>
      <c r="M45" s="782"/>
    </row>
    <row r="46" spans="1:13" ht="14.15" customHeight="1" x14ac:dyDescent="0.35">
      <c r="A46" s="660">
        <v>-2835000</v>
      </c>
      <c r="B46" s="795"/>
      <c r="C46" s="802"/>
      <c r="D46" s="847" t="str">
        <f>" Total investment, "&amp;IF(Figures&gt;1,Figures&amp;" ","")&amp;Currency</f>
        <v xml:space="preserve"> Total investment, Euro</v>
      </c>
      <c r="E46" s="848"/>
      <c r="F46" s="849">
        <f ca="1">$H46-($H46*0.2)</f>
        <v>-2268000</v>
      </c>
      <c r="G46" s="850">
        <f ca="1">$H46-($H46*0.1)</f>
        <v>-2551500</v>
      </c>
      <c r="H46" s="851">
        <f ca="1">SUM(TotalInvestment)</f>
        <v>-2835000</v>
      </c>
      <c r="I46" s="850">
        <f ca="1">$H46+($H46*0.1)</f>
        <v>-3118500</v>
      </c>
      <c r="J46" s="852">
        <f ca="1">$H46+($H46*0.2)</f>
        <v>-3402000</v>
      </c>
      <c r="K46" s="809"/>
      <c r="L46" s="795"/>
      <c r="M46" s="782"/>
    </row>
    <row r="47" spans="1:13" ht="13" customHeight="1" x14ac:dyDescent="0.35">
      <c r="A47" s="660">
        <v>0</v>
      </c>
      <c r="B47" s="795"/>
      <c r="C47" s="802"/>
      <c r="D47" s="826" t="str">
        <f>$D$6</f>
        <v xml:space="preserve"> Change, %</v>
      </c>
      <c r="E47" s="853"/>
      <c r="F47" s="812">
        <f ca="1">(OFFSET(F47,-1,0)-$H46)/IF($H46=0,0.00001,$H46)*100</f>
        <v>-20</v>
      </c>
      <c r="G47" s="813">
        <f ca="1">(OFFSET(G47,-1,0)-$H46)/IF($H46=0,0.00001,$H46)*100</f>
        <v>-10</v>
      </c>
      <c r="H47" s="814">
        <f>0</f>
        <v>0</v>
      </c>
      <c r="I47" s="813">
        <f ca="1">(OFFSET(I47,-1,0)-$H46)/IF($H46=0,0.00001,$H46)*100</f>
        <v>10</v>
      </c>
      <c r="J47" s="815">
        <f ca="1">(OFFSET(J47,-1,0)-$H46)/IF($H46=0,0.00001,$H46)*100</f>
        <v>20</v>
      </c>
      <c r="K47" s="809"/>
      <c r="L47" s="795"/>
      <c r="M47" s="782"/>
    </row>
    <row r="48" spans="1:13" ht="16" customHeight="1" x14ac:dyDescent="0.35">
      <c r="A48" s="660">
        <v>12348686.255399536</v>
      </c>
      <c r="B48" s="795"/>
      <c r="C48" s="802"/>
      <c r="D48" s="816" t="str">
        <f>" "&amp;INDEX(AFactorList,AFactor)</f>
        <v xml:space="preserve"> Net Present Value (NPV)</v>
      </c>
      <c r="E48" s="854"/>
      <c r="F48" s="1226">
        <v>12756402.996948654</v>
      </c>
      <c r="G48" s="1227">
        <v>12552544.626174092</v>
      </c>
      <c r="H48" s="1228">
        <v>12348686.255399536</v>
      </c>
      <c r="I48" s="1229">
        <v>12144827.884624975</v>
      </c>
      <c r="J48" s="1230">
        <v>11940969.513850415</v>
      </c>
      <c r="K48" s="809"/>
      <c r="L48" s="795"/>
      <c r="M48" s="782"/>
    </row>
    <row r="49" spans="1:13" ht="15.5" hidden="1" x14ac:dyDescent="0.35">
      <c r="A49" s="660">
        <v>12348686.255399536</v>
      </c>
      <c r="B49" s="795"/>
      <c r="C49" s="802"/>
      <c r="D49" s="818"/>
      <c r="E49" s="855"/>
      <c r="F49" s="820">
        <v>12756402.996948654</v>
      </c>
      <c r="G49" s="647">
        <v>12552544.626174092</v>
      </c>
      <c r="H49" s="647">
        <v>12348686.255399536</v>
      </c>
      <c r="I49" s="647">
        <v>12144827.884624975</v>
      </c>
      <c r="J49" s="821">
        <v>11940969.513850415</v>
      </c>
      <c r="K49" s="809"/>
      <c r="L49" s="795"/>
      <c r="M49" s="782"/>
    </row>
    <row r="50" spans="1:13" ht="15.5" hidden="1" x14ac:dyDescent="0.35">
      <c r="A50" s="660">
        <v>0.50339226561054384</v>
      </c>
      <c r="B50" s="795"/>
      <c r="C50" s="802"/>
      <c r="D50" s="818"/>
      <c r="E50" s="855"/>
      <c r="F50" s="856">
        <v>0.56800898043541115</v>
      </c>
      <c r="G50" s="650">
        <v>0.53391243249201303</v>
      </c>
      <c r="H50" s="650">
        <v>0.50339226561054384</v>
      </c>
      <c r="I50" s="650">
        <v>0.47585809235595189</v>
      </c>
      <c r="J50" s="857">
        <v>0.45084794727170441</v>
      </c>
      <c r="K50" s="809"/>
      <c r="L50" s="795"/>
      <c r="M50" s="782"/>
    </row>
    <row r="51" spans="1:13" ht="15.5" hidden="1" x14ac:dyDescent="0.35">
      <c r="A51" s="660">
        <v>0.66661631057319637</v>
      </c>
      <c r="B51" s="795"/>
      <c r="C51" s="802"/>
      <c r="D51" s="818"/>
      <c r="E51" s="855"/>
      <c r="F51" s="856">
        <v>0.7512915126271893</v>
      </c>
      <c r="G51" s="650">
        <v>0.7064770107977163</v>
      </c>
      <c r="H51" s="650">
        <v>0.66661631057319637</v>
      </c>
      <c r="I51" s="650">
        <v>0.63085517611036712</v>
      </c>
      <c r="J51" s="857">
        <v>0.59853173974642537</v>
      </c>
      <c r="K51" s="809"/>
      <c r="L51" s="795"/>
      <c r="M51" s="782"/>
    </row>
    <row r="52" spans="1:13" ht="15.5" hidden="1" x14ac:dyDescent="0.35">
      <c r="A52" s="660">
        <v>0.34153595866392839</v>
      </c>
      <c r="B52" s="795"/>
      <c r="C52" s="802"/>
      <c r="D52" s="818"/>
      <c r="E52" s="855"/>
      <c r="F52" s="856">
        <v>0.37679275106502153</v>
      </c>
      <c r="G52" s="650">
        <v>0.35837270677908184</v>
      </c>
      <c r="H52" s="650">
        <v>0.34153595866392839</v>
      </c>
      <c r="I52" s="650">
        <v>0.3260550080571516</v>
      </c>
      <c r="J52" s="857">
        <v>0.3117469390163794</v>
      </c>
      <c r="K52" s="809"/>
      <c r="L52" s="795"/>
      <c r="M52" s="782"/>
    </row>
    <row r="53" spans="1:13" ht="15.5" hidden="1" x14ac:dyDescent="0.35">
      <c r="A53" s="660">
        <v>5.3893498684684742</v>
      </c>
      <c r="B53" s="795"/>
      <c r="C53" s="802"/>
      <c r="D53" s="818"/>
      <c r="E53" s="855"/>
      <c r="F53" s="822">
        <v>6.6678413657469484</v>
      </c>
      <c r="G53" s="649">
        <v>5.9575683117033513</v>
      </c>
      <c r="H53" s="649">
        <v>5.3893498684684742</v>
      </c>
      <c r="I53" s="649">
        <v>4.9244438694581181</v>
      </c>
      <c r="J53" s="823">
        <v>4.5370222036161563</v>
      </c>
      <c r="K53" s="809"/>
      <c r="L53" s="795"/>
      <c r="M53" s="782"/>
    </row>
    <row r="54" spans="1:13" ht="15.5" hidden="1" x14ac:dyDescent="0.35">
      <c r="A54" s="660">
        <v>12240577.31097028</v>
      </c>
      <c r="B54" s="795"/>
      <c r="C54" s="802"/>
      <c r="D54" s="818"/>
      <c r="E54" s="855"/>
      <c r="F54" s="820">
        <v>12657343.09204367</v>
      </c>
      <c r="G54" s="647">
        <v>12448960.201506974</v>
      </c>
      <c r="H54" s="647">
        <v>12240577.31097028</v>
      </c>
      <c r="I54" s="647">
        <v>12032194.420433585</v>
      </c>
      <c r="J54" s="821">
        <v>11823811.529896891</v>
      </c>
      <c r="K54" s="809"/>
      <c r="L54" s="795"/>
      <c r="M54" s="782"/>
    </row>
    <row r="55" spans="1:13" ht="15.5" hidden="1" x14ac:dyDescent="0.35">
      <c r="A55" s="660">
        <v>2.7706957805444561</v>
      </c>
      <c r="B55" s="795"/>
      <c r="C55" s="802"/>
      <c r="D55" s="818"/>
      <c r="E55" s="855"/>
      <c r="F55" s="824">
        <v>2.5523564811493658</v>
      </c>
      <c r="G55" s="651">
        <v>2.6617886935672277</v>
      </c>
      <c r="H55" s="651">
        <v>2.7706957805444561</v>
      </c>
      <c r="I55" s="651">
        <v>2.8790815128631331</v>
      </c>
      <c r="J55" s="825">
        <v>2.9869496252889434</v>
      </c>
      <c r="K55" s="809"/>
      <c r="L55" s="795"/>
      <c r="M55" s="782"/>
    </row>
    <row r="56" spans="1:13" ht="15.5" hidden="1" x14ac:dyDescent="0.35">
      <c r="A56" s="660">
        <v>2.6795050765088981</v>
      </c>
      <c r="B56" s="795"/>
      <c r="C56" s="802"/>
      <c r="D56" s="818"/>
      <c r="E56" s="855"/>
      <c r="F56" s="824">
        <v>2.479096616315442</v>
      </c>
      <c r="G56" s="651">
        <v>2.5795418465006961</v>
      </c>
      <c r="H56" s="651">
        <v>2.6795050765088981</v>
      </c>
      <c r="I56" s="651">
        <v>2.778989767451415</v>
      </c>
      <c r="J56" s="825">
        <v>2.877999347381015</v>
      </c>
      <c r="K56" s="809"/>
      <c r="L56" s="795"/>
      <c r="M56" s="782"/>
    </row>
    <row r="57" spans="1:13" ht="15.5" hidden="1" x14ac:dyDescent="0.35">
      <c r="A57" s="660">
        <v>14329994.434887145</v>
      </c>
      <c r="B57" s="795"/>
      <c r="C57" s="802"/>
      <c r="D57" s="818"/>
      <c r="E57" s="855"/>
      <c r="F57" s="820">
        <v>14722763.597647559</v>
      </c>
      <c r="G57" s="647">
        <v>14526379.016267352</v>
      </c>
      <c r="H57" s="647">
        <v>14329994.434887145</v>
      </c>
      <c r="I57" s="647">
        <v>14133609.853506934</v>
      </c>
      <c r="J57" s="821">
        <v>13937225.272126727</v>
      </c>
      <c r="K57" s="809"/>
      <c r="L57" s="795"/>
      <c r="M57" s="782"/>
    </row>
    <row r="58" spans="1:13" ht="15.5" hidden="1" x14ac:dyDescent="0.35">
      <c r="A58" s="660">
        <v>0.50339226561054384</v>
      </c>
      <c r="B58" s="795"/>
      <c r="C58" s="802"/>
      <c r="D58" s="818"/>
      <c r="E58" s="855"/>
      <c r="F58" s="856">
        <v>0.56800898043541648</v>
      </c>
      <c r="G58" s="650">
        <v>0.53391243249201303</v>
      </c>
      <c r="H58" s="650">
        <v>0.50339226561054384</v>
      </c>
      <c r="I58" s="650">
        <v>0.47585809235595544</v>
      </c>
      <c r="J58" s="857">
        <v>0.45084794727170441</v>
      </c>
      <c r="K58" s="809"/>
      <c r="L58" s="795"/>
      <c r="M58" s="782"/>
    </row>
    <row r="59" spans="1:13" ht="15.5" hidden="1" x14ac:dyDescent="0.35">
      <c r="A59" s="660">
        <v>0.66661631057319637</v>
      </c>
      <c r="B59" s="795"/>
      <c r="C59" s="802"/>
      <c r="D59" s="818"/>
      <c r="E59" s="855"/>
      <c r="F59" s="856">
        <v>0.75129151262719307</v>
      </c>
      <c r="G59" s="650">
        <v>0.70647701079772007</v>
      </c>
      <c r="H59" s="650">
        <v>0.66661631057319637</v>
      </c>
      <c r="I59" s="650">
        <v>0.63085517611036246</v>
      </c>
      <c r="J59" s="857">
        <v>0.59853173974642537</v>
      </c>
      <c r="K59" s="809"/>
      <c r="L59" s="795"/>
      <c r="M59" s="782"/>
    </row>
    <row r="60" spans="1:13" ht="15.5" hidden="1" x14ac:dyDescent="0.35">
      <c r="A60" s="660">
        <v>0.33334987667595417</v>
      </c>
      <c r="B60" s="795"/>
      <c r="C60" s="802"/>
      <c r="D60" s="818"/>
      <c r="E60" s="855"/>
      <c r="F60" s="856">
        <v>0.3683860662663121</v>
      </c>
      <c r="G60" s="650">
        <v>0.35008055790770332</v>
      </c>
      <c r="H60" s="650">
        <v>0.33334987667595417</v>
      </c>
      <c r="I60" s="650">
        <v>0.31796762361879605</v>
      </c>
      <c r="J60" s="857">
        <v>0.30375178660231117</v>
      </c>
      <c r="K60" s="809"/>
      <c r="L60" s="795"/>
      <c r="M60" s="782"/>
    </row>
    <row r="61" spans="1:13" ht="15.5" hidden="1" x14ac:dyDescent="0.35">
      <c r="A61" s="660">
        <v>2.6795050765088981</v>
      </c>
      <c r="B61" s="795"/>
      <c r="C61" s="802"/>
      <c r="D61" s="818"/>
      <c r="E61" s="855"/>
      <c r="F61" s="824">
        <v>2.479096616315442</v>
      </c>
      <c r="G61" s="651">
        <v>2.5795418465006961</v>
      </c>
      <c r="H61" s="651">
        <v>2.6795050765088981</v>
      </c>
      <c r="I61" s="651">
        <v>2.778989767451415</v>
      </c>
      <c r="J61" s="825">
        <v>2.877999347381015</v>
      </c>
      <c r="K61" s="809"/>
      <c r="L61" s="795"/>
      <c r="M61" s="782"/>
    </row>
    <row r="62" spans="1:13" ht="15.5" hidden="1" x14ac:dyDescent="0.35">
      <c r="A62" s="660">
        <v>2.6795050765088981</v>
      </c>
      <c r="B62" s="795"/>
      <c r="C62" s="802"/>
      <c r="D62" s="818"/>
      <c r="E62" s="855"/>
      <c r="F62" s="824">
        <v>2.479096616315442</v>
      </c>
      <c r="G62" s="651">
        <v>2.5795418465006961</v>
      </c>
      <c r="H62" s="651">
        <v>2.6795050765088981</v>
      </c>
      <c r="I62" s="651">
        <v>2.778989767451415</v>
      </c>
      <c r="J62" s="825">
        <v>2.877999347381015</v>
      </c>
      <c r="K62" s="809"/>
      <c r="L62" s="795"/>
      <c r="M62" s="782"/>
    </row>
    <row r="63" spans="1:13" ht="14.15" customHeight="1" x14ac:dyDescent="0.35">
      <c r="A63" s="660">
        <v>0</v>
      </c>
      <c r="B63" s="795"/>
      <c r="C63" s="802"/>
      <c r="D63" s="826" t="str">
        <f>$D$6</f>
        <v xml:space="preserve"> Change, %</v>
      </c>
      <c r="E63" s="827"/>
      <c r="F63" s="812">
        <f>IF(AND(ISNUMBER(F48),ISNUMBER($H48)),(F48-$H48)/IF($H48=0,0.00001,ABS($H48))*100,"")</f>
        <v>3.3017013560518707</v>
      </c>
      <c r="G63" s="813">
        <f>IF(AND(ISNUMBER(G48),ISNUMBER($H48)),(G48-$H48)/IF($H48=0,0.00001,ABS($H48))*100,"")</f>
        <v>1.6508506780259127</v>
      </c>
      <c r="H63" s="813">
        <v>0</v>
      </c>
      <c r="I63" s="813">
        <f>IF(AND(ISNUMBER(I48),ISNUMBER($H48)),(I48-$H48)/IF($H48=0,0.00001,ABS($H48))*100,"")</f>
        <v>-1.6508506780259582</v>
      </c>
      <c r="J63" s="815">
        <f>IF(AND(ISNUMBER(J48),ISNUMBER($H48)),(J48-$H48)/IF($H48=0,0.00001,ABS($H48))*100,"")</f>
        <v>-3.3017013560519013</v>
      </c>
      <c r="K63" s="809"/>
      <c r="L63" s="795"/>
      <c r="M63" s="782"/>
    </row>
    <row r="64" spans="1:13" ht="12.75" customHeight="1" x14ac:dyDescent="0.35">
      <c r="A64" s="660"/>
      <c r="B64" s="795"/>
      <c r="C64" s="802"/>
      <c r="D64" s="858"/>
      <c r="E64" s="859"/>
      <c r="F64" s="859"/>
      <c r="G64" s="859"/>
      <c r="H64" s="859"/>
      <c r="I64" s="859"/>
      <c r="J64" s="860"/>
      <c r="K64" s="809"/>
      <c r="L64" s="795"/>
      <c r="M64" s="782"/>
    </row>
    <row r="65" spans="1:13" ht="12.75" customHeight="1" x14ac:dyDescent="0.35">
      <c r="A65" s="660"/>
      <c r="B65" s="795"/>
      <c r="C65" s="802"/>
      <c r="D65" s="789"/>
      <c r="E65" s="786"/>
      <c r="F65" s="786"/>
      <c r="G65" s="786"/>
      <c r="H65" s="786"/>
      <c r="I65" s="786"/>
      <c r="J65" s="790"/>
      <c r="K65" s="809"/>
      <c r="L65" s="795"/>
      <c r="M65" s="782"/>
    </row>
    <row r="66" spans="1:13" ht="12.75" customHeight="1" x14ac:dyDescent="0.35">
      <c r="A66" s="660"/>
      <c r="B66" s="795"/>
      <c r="C66" s="802"/>
      <c r="D66" s="789"/>
      <c r="E66" s="786"/>
      <c r="F66" s="786"/>
      <c r="G66" s="786"/>
      <c r="H66" s="786"/>
      <c r="I66" s="786"/>
      <c r="J66" s="790"/>
      <c r="K66" s="809"/>
      <c r="L66" s="795"/>
      <c r="M66" s="782"/>
    </row>
    <row r="67" spans="1:13" ht="12.75" customHeight="1" x14ac:dyDescent="0.35">
      <c r="A67" s="660"/>
      <c r="B67" s="795"/>
      <c r="C67" s="802"/>
      <c r="D67" s="789"/>
      <c r="E67" s="786"/>
      <c r="F67" s="786"/>
      <c r="G67" s="786"/>
      <c r="H67" s="786"/>
      <c r="I67" s="786"/>
      <c r="J67" s="790"/>
      <c r="K67" s="809"/>
      <c r="L67" s="795"/>
      <c r="M67" s="782"/>
    </row>
    <row r="68" spans="1:13" ht="12.75" customHeight="1" x14ac:dyDescent="0.35">
      <c r="A68" s="660"/>
      <c r="B68" s="795"/>
      <c r="C68" s="802"/>
      <c r="D68" s="789"/>
      <c r="E68" s="786"/>
      <c r="F68" s="786"/>
      <c r="G68" s="786"/>
      <c r="H68" s="786"/>
      <c r="I68" s="786"/>
      <c r="J68" s="790"/>
      <c r="K68" s="809"/>
      <c r="L68" s="795"/>
      <c r="M68" s="782"/>
    </row>
    <row r="69" spans="1:13" ht="12.75" customHeight="1" x14ac:dyDescent="0.35">
      <c r="A69" s="660"/>
      <c r="B69" s="795"/>
      <c r="C69" s="802"/>
      <c r="D69" s="789"/>
      <c r="E69" s="786"/>
      <c r="F69" s="786"/>
      <c r="G69" s="786"/>
      <c r="H69" s="786"/>
      <c r="I69" s="786"/>
      <c r="J69" s="790"/>
      <c r="K69" s="809"/>
      <c r="L69" s="795"/>
      <c r="M69" s="782"/>
    </row>
    <row r="70" spans="1:13" ht="12.75" customHeight="1" x14ac:dyDescent="0.35">
      <c r="A70" s="660"/>
      <c r="B70" s="795"/>
      <c r="C70" s="802"/>
      <c r="D70" s="789"/>
      <c r="E70" s="786"/>
      <c r="F70" s="786"/>
      <c r="G70" s="786"/>
      <c r="H70" s="786"/>
      <c r="I70" s="786"/>
      <c r="J70" s="790"/>
      <c r="K70" s="809"/>
      <c r="L70" s="795"/>
      <c r="M70" s="782"/>
    </row>
    <row r="71" spans="1:13" ht="12.75" customHeight="1" x14ac:dyDescent="0.35">
      <c r="A71" s="660"/>
      <c r="B71" s="795"/>
      <c r="C71" s="802"/>
      <c r="D71" s="789"/>
      <c r="E71" s="786"/>
      <c r="F71" s="786"/>
      <c r="G71" s="786"/>
      <c r="H71" s="786"/>
      <c r="I71" s="786"/>
      <c r="J71" s="790"/>
      <c r="K71" s="809"/>
      <c r="L71" s="795"/>
      <c r="M71" s="782"/>
    </row>
    <row r="72" spans="1:13" ht="12.75" customHeight="1" x14ac:dyDescent="0.35">
      <c r="A72" s="660"/>
      <c r="B72" s="795"/>
      <c r="C72" s="802"/>
      <c r="D72" s="789"/>
      <c r="E72" s="786"/>
      <c r="F72" s="786"/>
      <c r="G72" s="786"/>
      <c r="H72" s="786"/>
      <c r="I72" s="786"/>
      <c r="J72" s="790"/>
      <c r="K72" s="809"/>
      <c r="L72" s="795"/>
      <c r="M72" s="782"/>
    </row>
    <row r="73" spans="1:13" ht="12.75" customHeight="1" x14ac:dyDescent="0.35">
      <c r="A73" s="660"/>
      <c r="B73" s="795"/>
      <c r="C73" s="802"/>
      <c r="D73" s="789"/>
      <c r="E73" s="786"/>
      <c r="F73" s="786"/>
      <c r="G73" s="786"/>
      <c r="H73" s="786"/>
      <c r="I73" s="786"/>
      <c r="J73" s="790"/>
      <c r="K73" s="809"/>
      <c r="L73" s="795"/>
      <c r="M73" s="782"/>
    </row>
    <row r="74" spans="1:13" ht="12.75" customHeight="1" x14ac:dyDescent="0.35">
      <c r="A74" s="660"/>
      <c r="B74" s="795"/>
      <c r="C74" s="802"/>
      <c r="D74" s="789"/>
      <c r="E74" s="786"/>
      <c r="F74" s="786"/>
      <c r="G74" s="786"/>
      <c r="H74" s="786"/>
      <c r="I74" s="786"/>
      <c r="J74" s="790"/>
      <c r="K74" s="809"/>
      <c r="L74" s="795"/>
      <c r="M74" s="782"/>
    </row>
    <row r="75" spans="1:13" ht="12.75" customHeight="1" x14ac:dyDescent="0.35">
      <c r="A75" s="660"/>
      <c r="B75" s="795"/>
      <c r="C75" s="802"/>
      <c r="D75" s="789"/>
      <c r="E75" s="786"/>
      <c r="F75" s="786"/>
      <c r="G75" s="786"/>
      <c r="H75" s="786"/>
      <c r="I75" s="786"/>
      <c r="J75" s="790"/>
      <c r="K75" s="809"/>
      <c r="L75" s="795"/>
      <c r="M75" s="782"/>
    </row>
    <row r="76" spans="1:13" ht="12.75" customHeight="1" x14ac:dyDescent="0.35">
      <c r="A76" s="660"/>
      <c r="B76" s="795"/>
      <c r="C76" s="802"/>
      <c r="D76" s="789"/>
      <c r="E76" s="786"/>
      <c r="F76" s="786"/>
      <c r="G76" s="786"/>
      <c r="H76" s="786"/>
      <c r="I76" s="786"/>
      <c r="J76" s="790"/>
      <c r="K76" s="809"/>
      <c r="L76" s="795"/>
      <c r="M76" s="782"/>
    </row>
    <row r="77" spans="1:13" ht="12.75" customHeight="1" x14ac:dyDescent="0.35">
      <c r="A77" s="660"/>
      <c r="B77" s="795"/>
      <c r="C77" s="802"/>
      <c r="D77" s="791"/>
      <c r="E77" s="792"/>
      <c r="F77" s="792"/>
      <c r="G77" s="792"/>
      <c r="H77" s="792"/>
      <c r="I77" s="792"/>
      <c r="J77" s="793"/>
      <c r="K77" s="809"/>
      <c r="L77" s="795"/>
      <c r="M77" s="782"/>
    </row>
    <row r="78" spans="1:13" ht="16" customHeight="1" x14ac:dyDescent="0.35">
      <c r="A78" s="660">
        <v>0</v>
      </c>
      <c r="B78" s="795"/>
      <c r="C78" s="802"/>
      <c r="D78" s="831" t="s">
        <v>1932</v>
      </c>
      <c r="E78" s="832" t="str">
        <f>FinYearR01</f>
        <v>12/2019</v>
      </c>
      <c r="F78" s="861">
        <f ca="1">F46</f>
        <v>-2268000</v>
      </c>
      <c r="G78" s="862">
        <f ca="1">G46</f>
        <v>-2551500</v>
      </c>
      <c r="H78" s="862">
        <f ca="1">H46</f>
        <v>-2835000</v>
      </c>
      <c r="I78" s="862">
        <f ca="1">I46</f>
        <v>-3118500</v>
      </c>
      <c r="J78" s="863">
        <f ca="1">J46</f>
        <v>-3402000</v>
      </c>
      <c r="K78" s="809"/>
      <c r="L78" s="795"/>
      <c r="M78" s="782"/>
    </row>
    <row r="79" spans="1:13" ht="16" customHeight="1" x14ac:dyDescent="0.35">
      <c r="A79" s="660">
        <v>0</v>
      </c>
      <c r="B79" s="795"/>
      <c r="C79" s="802"/>
      <c r="D79" s="831" t="str">
        <f>" "&amp;INDEX(RatiosDD,Analysis01Ratio01)</f>
        <v xml:space="preserve"> EBITDA; Operating income before depreciation, Euro</v>
      </c>
      <c r="E79" s="836"/>
      <c r="F79" s="840">
        <v>363342.76835039631</v>
      </c>
      <c r="G79" s="841">
        <v>363342.76835039631</v>
      </c>
      <c r="H79" s="841">
        <v>363342.76835039631</v>
      </c>
      <c r="I79" s="841">
        <v>363342.76835039631</v>
      </c>
      <c r="J79" s="842">
        <v>363342.76835039631</v>
      </c>
      <c r="K79" s="809"/>
      <c r="L79" s="795"/>
      <c r="M79" s="782"/>
    </row>
    <row r="80" spans="1:13" ht="16" customHeight="1" x14ac:dyDescent="0.35">
      <c r="A80" s="660"/>
      <c r="B80" s="795"/>
      <c r="C80" s="802"/>
      <c r="D80" s="831" t="str">
        <f>" "&amp;INDEX(RatiosDD,Analysis01Ratio02)</f>
        <v xml:space="preserve"> EBITDA, %</v>
      </c>
      <c r="E80" s="836"/>
      <c r="F80" s="864">
        <v>9.3697948249322413E-2</v>
      </c>
      <c r="G80" s="865">
        <v>9.3697948249322413E-2</v>
      </c>
      <c r="H80" s="865">
        <v>9.3697948249322413E-2</v>
      </c>
      <c r="I80" s="865">
        <v>9.3697948249322413E-2</v>
      </c>
      <c r="J80" s="866">
        <v>9.3697948249322413E-2</v>
      </c>
      <c r="K80" s="809"/>
      <c r="L80" s="795"/>
      <c r="M80" s="782"/>
    </row>
    <row r="81" spans="1:13" ht="16" customHeight="1" x14ac:dyDescent="0.35">
      <c r="A81" s="660" t="s">
        <v>39</v>
      </c>
      <c r="B81" s="795"/>
      <c r="C81" s="802"/>
      <c r="D81" s="831" t="str">
        <f>" "&amp;INDEX(RatiosDD,Analysis01Ratio03)</f>
        <v xml:space="preserve"> EBIT; Operating income, Euro</v>
      </c>
      <c r="E81" s="836"/>
      <c r="F81" s="840">
        <v>301209.43501706299</v>
      </c>
      <c r="G81" s="841">
        <v>293442.76835039636</v>
      </c>
      <c r="H81" s="841">
        <v>285676.10168372968</v>
      </c>
      <c r="I81" s="841">
        <v>277909.43501706305</v>
      </c>
      <c r="J81" s="842">
        <v>270142.76835039642</v>
      </c>
      <c r="K81" s="809"/>
      <c r="L81" s="795"/>
      <c r="M81" s="782"/>
    </row>
    <row r="82" spans="1:13" ht="16" customHeight="1" x14ac:dyDescent="0.35">
      <c r="A82" s="660"/>
      <c r="B82" s="795"/>
      <c r="C82" s="802"/>
      <c r="D82" s="831" t="str">
        <f>" "&amp;INDEX(RatiosDD,Analysis01Ratio04)</f>
        <v xml:space="preserve"> EBIT, %</v>
      </c>
      <c r="E82" s="836"/>
      <c r="F82" s="864">
        <v>7.7675155563353124E-2</v>
      </c>
      <c r="G82" s="865">
        <v>7.5672306477606963E-2</v>
      </c>
      <c r="H82" s="865">
        <v>7.3669457391860801E-2</v>
      </c>
      <c r="I82" s="865">
        <v>7.1666608306114654E-2</v>
      </c>
      <c r="J82" s="866">
        <v>6.9663759220368493E-2</v>
      </c>
      <c r="K82" s="809"/>
      <c r="L82" s="795"/>
      <c r="M82" s="782"/>
    </row>
    <row r="83" spans="1:13" ht="16" customHeight="1" x14ac:dyDescent="0.35">
      <c r="A83" s="660"/>
      <c r="B83" s="795"/>
      <c r="C83" s="802"/>
      <c r="D83" s="831" t="str">
        <f>" "&amp;INDEX(RatiosDD,Analysis01Ratio05)</f>
        <v xml:space="preserve"> Return on net assets (RONA), %</v>
      </c>
      <c r="E83" s="836"/>
      <c r="F83" s="892">
        <v>8.3212598538450006E-2</v>
      </c>
      <c r="G83" s="893">
        <v>7.5590792008599042E-2</v>
      </c>
      <c r="H83" s="893">
        <v>6.893355284252442E-2</v>
      </c>
      <c r="I83" s="893">
        <v>6.3068673517551757E-2</v>
      </c>
      <c r="J83" s="894">
        <v>5.7862637059130008E-2</v>
      </c>
      <c r="K83" s="809"/>
      <c r="L83" s="795"/>
      <c r="M83" s="782"/>
    </row>
    <row r="84" spans="1:13" ht="16" customHeight="1" x14ac:dyDescent="0.35">
      <c r="A84" s="660"/>
      <c r="B84" s="795"/>
      <c r="C84" s="802"/>
      <c r="D84" s="831" t="str">
        <f>" "&amp;INDEX(RatiosDD,Analysis01Ratio06)</f>
        <v xml:space="preserve"> Economic Value Added (EVA), Euro</v>
      </c>
      <c r="E84" s="836"/>
      <c r="F84" s="840">
        <v>117327.45952896346</v>
      </c>
      <c r="G84" s="841">
        <v>104524.04286229683</v>
      </c>
      <c r="H84" s="841">
        <v>91720.626195630175</v>
      </c>
      <c r="I84" s="841">
        <v>78917.209528963518</v>
      </c>
      <c r="J84" s="842">
        <v>66113.79286229689</v>
      </c>
      <c r="K84" s="809"/>
      <c r="L84" s="795"/>
      <c r="M84" s="782"/>
    </row>
    <row r="85" spans="1:13" ht="5.15" customHeight="1" x14ac:dyDescent="0.35">
      <c r="A85" s="660"/>
      <c r="B85" s="795"/>
      <c r="C85" s="843"/>
      <c r="D85" s="844"/>
      <c r="E85" s="844"/>
      <c r="F85" s="844"/>
      <c r="G85" s="844"/>
      <c r="H85" s="844"/>
      <c r="I85" s="844"/>
      <c r="J85" s="844"/>
      <c r="K85" s="845"/>
      <c r="L85" s="795"/>
      <c r="M85" s="782"/>
    </row>
    <row r="86" spans="1:13" ht="5.15" customHeight="1" x14ac:dyDescent="0.35">
      <c r="A86" s="660"/>
      <c r="B86" s="282"/>
      <c r="C86" s="282"/>
      <c r="D86" s="282"/>
      <c r="E86" s="282"/>
      <c r="F86" s="282"/>
      <c r="G86" s="282"/>
      <c r="H86" s="282"/>
      <c r="I86" s="282"/>
      <c r="J86" s="282"/>
      <c r="K86" s="282"/>
      <c r="L86" s="282"/>
      <c r="M86" s="782"/>
    </row>
    <row r="87" spans="1:13" ht="12.75" customHeight="1" x14ac:dyDescent="0.35">
      <c r="A87" s="660"/>
      <c r="B87" s="282"/>
      <c r="C87" s="282"/>
      <c r="D87" s="282"/>
      <c r="E87" s="282"/>
      <c r="F87" s="282"/>
      <c r="G87" s="282"/>
      <c r="H87" s="282"/>
      <c r="I87" s="282"/>
      <c r="J87" s="282"/>
      <c r="K87" s="282"/>
      <c r="L87" s="282"/>
      <c r="M87" s="782"/>
    </row>
    <row r="88" spans="1:13" ht="5.15" customHeight="1" x14ac:dyDescent="0.35">
      <c r="A88" s="660" t="s">
        <v>1933</v>
      </c>
      <c r="B88" s="282"/>
      <c r="C88" s="282"/>
      <c r="D88" s="282"/>
      <c r="E88" s="282"/>
      <c r="F88" s="282"/>
      <c r="G88" s="282"/>
      <c r="H88" s="282"/>
      <c r="I88" s="282"/>
      <c r="J88" s="282"/>
      <c r="K88" s="282"/>
      <c r="L88" s="282"/>
      <c r="M88" s="782"/>
    </row>
    <row r="89" spans="1:13" ht="15" customHeight="1" x14ac:dyDescent="0.35">
      <c r="A89" s="660" t="s">
        <v>1933</v>
      </c>
      <c r="B89" s="795"/>
      <c r="C89" s="796" t="s">
        <v>1934</v>
      </c>
      <c r="D89" s="797"/>
      <c r="E89" s="797"/>
      <c r="F89" s="797"/>
      <c r="G89" s="797"/>
      <c r="H89" s="797"/>
      <c r="I89" s="797"/>
      <c r="J89" s="797"/>
      <c r="K89" s="798"/>
      <c r="L89" s="795"/>
      <c r="M89" s="782"/>
    </row>
    <row r="90" spans="1:13" ht="5.15" customHeight="1" x14ac:dyDescent="0.35">
      <c r="A90" s="660"/>
      <c r="B90" s="795"/>
      <c r="C90" s="867"/>
      <c r="D90" s="868"/>
      <c r="E90" s="868"/>
      <c r="F90" s="788">
        <f ca="1">1+(OFFSET(F90,1,0)/100)</f>
        <v>0.8</v>
      </c>
      <c r="G90" s="788">
        <f ca="1">(1+(OFFSET(G90,1,0)/100))/F90</f>
        <v>1.125</v>
      </c>
      <c r="H90" s="869"/>
      <c r="I90" s="788">
        <f ca="1">(1+(OFFSET(I90,1,0)/100))/(1+(OFFSET(G90,1,0)/100))</f>
        <v>1.2222222222222223</v>
      </c>
      <c r="J90" s="788">
        <f ca="1">(1+(OFFSET(J90,1,0)/100))/(1+(OFFSET(I90,1,0)/100))</f>
        <v>1.0909090909090908</v>
      </c>
      <c r="K90" s="870"/>
      <c r="L90" s="795"/>
      <c r="M90" s="782"/>
    </row>
    <row r="91" spans="1:13" ht="15" customHeight="1" x14ac:dyDescent="0.35">
      <c r="A91" s="660">
        <v>0</v>
      </c>
      <c r="B91" s="795"/>
      <c r="C91" s="802"/>
      <c r="D91" s="871" t="s">
        <v>1935</v>
      </c>
      <c r="E91" s="872"/>
      <c r="F91" s="873">
        <v>-20</v>
      </c>
      <c r="G91" s="874">
        <v>-10</v>
      </c>
      <c r="H91" s="875">
        <v>0</v>
      </c>
      <c r="I91" s="874">
        <v>10</v>
      </c>
      <c r="J91" s="876">
        <v>20</v>
      </c>
      <c r="K91" s="809"/>
      <c r="L91" s="795"/>
      <c r="M91" s="782"/>
    </row>
    <row r="92" spans="1:13" ht="16" customHeight="1" x14ac:dyDescent="0.35">
      <c r="A92" s="660">
        <v>12348686.255399536</v>
      </c>
      <c r="B92" s="795"/>
      <c r="C92" s="802"/>
      <c r="D92" s="816" t="str">
        <f>$D$48</f>
        <v xml:space="preserve"> Net Present Value (NPV)</v>
      </c>
      <c r="E92" s="854"/>
      <c r="F92" s="1226">
        <v>7776772.2677708659</v>
      </c>
      <c r="G92" s="1227">
        <v>10062729.261585202</v>
      </c>
      <c r="H92" s="1228">
        <v>12348686.255399536</v>
      </c>
      <c r="I92" s="1229">
        <v>14634643.24921388</v>
      </c>
      <c r="J92" s="1230">
        <v>16920600.243028212</v>
      </c>
      <c r="K92" s="809"/>
      <c r="L92" s="795"/>
      <c r="M92" s="782"/>
    </row>
    <row r="93" spans="1:13" ht="15.5" hidden="1" x14ac:dyDescent="0.35">
      <c r="A93" s="660">
        <v>12348686.255399536</v>
      </c>
      <c r="B93" s="795"/>
      <c r="C93" s="802"/>
      <c r="D93" s="818"/>
      <c r="E93" s="855"/>
      <c r="F93" s="820">
        <v>7776772.2677708659</v>
      </c>
      <c r="G93" s="647">
        <v>10062729.261585202</v>
      </c>
      <c r="H93" s="647">
        <v>12348686.255399536</v>
      </c>
      <c r="I93" s="647">
        <v>14634643.24921388</v>
      </c>
      <c r="J93" s="821">
        <v>16920600.243028212</v>
      </c>
      <c r="K93" s="809"/>
      <c r="L93" s="795"/>
      <c r="M93" s="782"/>
    </row>
    <row r="94" spans="1:13" ht="15.5" hidden="1" x14ac:dyDescent="0.35">
      <c r="A94" s="660">
        <v>0.50339226561054384</v>
      </c>
      <c r="B94" s="795"/>
      <c r="C94" s="802"/>
      <c r="D94" s="818"/>
      <c r="E94" s="855"/>
      <c r="F94" s="856">
        <v>0.35826198310144641</v>
      </c>
      <c r="G94" s="650">
        <v>0.43380732741574457</v>
      </c>
      <c r="H94" s="650">
        <v>0.50339226561054384</v>
      </c>
      <c r="I94" s="650">
        <v>0.56806071283762249</v>
      </c>
      <c r="J94" s="857">
        <v>0.6285666385979416</v>
      </c>
      <c r="K94" s="809"/>
      <c r="L94" s="795"/>
      <c r="M94" s="782"/>
    </row>
    <row r="95" spans="1:13" ht="15.5" hidden="1" x14ac:dyDescent="0.35">
      <c r="A95" s="660">
        <v>0.66661631057319637</v>
      </c>
      <c r="B95" s="795"/>
      <c r="C95" s="802"/>
      <c r="D95" s="818"/>
      <c r="E95" s="855"/>
      <c r="F95" s="856">
        <v>0.47322634564244992</v>
      </c>
      <c r="G95" s="650">
        <v>0.57306849879120825</v>
      </c>
      <c r="H95" s="650">
        <v>0.66661631057319637</v>
      </c>
      <c r="I95" s="650">
        <v>0.75497417595041383</v>
      </c>
      <c r="J95" s="857">
        <v>0.83891592375565982</v>
      </c>
      <c r="K95" s="809"/>
      <c r="L95" s="795"/>
      <c r="M95" s="782"/>
    </row>
    <row r="96" spans="1:13" ht="15.5" hidden="1" x14ac:dyDescent="0.35">
      <c r="A96" s="660">
        <v>0.34153595866392839</v>
      </c>
      <c r="B96" s="795"/>
      <c r="C96" s="802"/>
      <c r="D96" s="818"/>
      <c r="E96" s="855"/>
      <c r="F96" s="856">
        <v>0.26670220555997659</v>
      </c>
      <c r="G96" s="650">
        <v>0.30709608217683027</v>
      </c>
      <c r="H96" s="650">
        <v>0.34153595866392839</v>
      </c>
      <c r="I96" s="650">
        <v>0.37151104651829248</v>
      </c>
      <c r="J96" s="857">
        <v>0.39800542587110832</v>
      </c>
      <c r="K96" s="809"/>
      <c r="L96" s="795"/>
      <c r="M96" s="782"/>
    </row>
    <row r="97" spans="1:13" ht="15.5" hidden="1" x14ac:dyDescent="0.35">
      <c r="A97" s="660">
        <v>5.3893498684684742</v>
      </c>
      <c r="B97" s="795"/>
      <c r="C97" s="802"/>
      <c r="D97" s="818"/>
      <c r="E97" s="855"/>
      <c r="F97" s="822">
        <v>3.7642595839475321</v>
      </c>
      <c r="G97" s="649">
        <v>4.5768047262080032</v>
      </c>
      <c r="H97" s="649">
        <v>5.3893498684684742</v>
      </c>
      <c r="I97" s="649">
        <v>6.2018950107289488</v>
      </c>
      <c r="J97" s="823">
        <v>7.0144401529894198</v>
      </c>
      <c r="K97" s="809"/>
      <c r="L97" s="795"/>
      <c r="M97" s="782"/>
    </row>
    <row r="98" spans="1:13" ht="15.5" hidden="1" x14ac:dyDescent="0.35">
      <c r="A98" s="660">
        <v>12240577.31097028</v>
      </c>
      <c r="B98" s="795"/>
      <c r="C98" s="802"/>
      <c r="D98" s="818"/>
      <c r="E98" s="855"/>
      <c r="F98" s="820">
        <v>7681775.1826498965</v>
      </c>
      <c r="G98" s="647">
        <v>9961176.2468100898</v>
      </c>
      <c r="H98" s="647">
        <v>12240577.31097028</v>
      </c>
      <c r="I98" s="647">
        <v>14519978.375130478</v>
      </c>
      <c r="J98" s="821">
        <v>16799379.439290669</v>
      </c>
      <c r="K98" s="809"/>
      <c r="L98" s="795"/>
      <c r="M98" s="782"/>
    </row>
    <row r="99" spans="1:13" ht="15.5" hidden="1" x14ac:dyDescent="0.35">
      <c r="A99" s="660">
        <v>2.7706957805444561</v>
      </c>
      <c r="B99" s="795"/>
      <c r="C99" s="802"/>
      <c r="D99" s="818"/>
      <c r="E99" s="855"/>
      <c r="F99" s="824">
        <v>3.5757676785703256</v>
      </c>
      <c r="G99" s="651">
        <v>3.1304830028926247</v>
      </c>
      <c r="H99" s="651">
        <v>2.7706957805444561</v>
      </c>
      <c r="I99" s="651">
        <v>2.5123976222735838</v>
      </c>
      <c r="J99" s="825">
        <v>2.3121035033725774</v>
      </c>
      <c r="K99" s="809"/>
      <c r="L99" s="795"/>
      <c r="M99" s="782"/>
    </row>
    <row r="100" spans="1:13" ht="15.5" hidden="1" x14ac:dyDescent="0.35">
      <c r="A100" s="660">
        <v>2.6795050765088981</v>
      </c>
      <c r="B100" s="795"/>
      <c r="C100" s="802"/>
      <c r="D100" s="818"/>
      <c r="E100" s="855"/>
      <c r="F100" s="824">
        <v>3.4570687935420534</v>
      </c>
      <c r="G100" s="651">
        <v>3.012328588357319</v>
      </c>
      <c r="H100" s="651">
        <v>2.6795050765088981</v>
      </c>
      <c r="I100" s="651">
        <v>2.4405646839662758</v>
      </c>
      <c r="J100" s="825">
        <v>2.2303010230322129</v>
      </c>
      <c r="K100" s="809"/>
      <c r="L100" s="795"/>
      <c r="M100" s="782"/>
    </row>
    <row r="101" spans="1:13" ht="15.5" hidden="1" x14ac:dyDescent="0.35">
      <c r="A101" s="660">
        <v>14329994.434887145</v>
      </c>
      <c r="B101" s="795"/>
      <c r="C101" s="802"/>
      <c r="D101" s="818"/>
      <c r="E101" s="855"/>
      <c r="F101" s="820">
        <v>9228026.385149302</v>
      </c>
      <c r="G101" s="647">
        <v>11779010.410018224</v>
      </c>
      <c r="H101" s="647">
        <v>14329994.434887145</v>
      </c>
      <c r="I101" s="647">
        <v>16880978.459756073</v>
      </c>
      <c r="J101" s="821">
        <v>19431962.484624993</v>
      </c>
      <c r="K101" s="809"/>
      <c r="L101" s="795"/>
      <c r="M101" s="782"/>
    </row>
    <row r="102" spans="1:13" ht="15.5" hidden="1" x14ac:dyDescent="0.35">
      <c r="A102" s="660">
        <v>0.50339226561054384</v>
      </c>
      <c r="B102" s="795"/>
      <c r="C102" s="802"/>
      <c r="D102" s="818"/>
      <c r="E102" s="855"/>
      <c r="F102" s="856">
        <v>0.35826198310144641</v>
      </c>
      <c r="G102" s="650">
        <v>0.4338073274157479</v>
      </c>
      <c r="H102" s="650">
        <v>0.50339226561054384</v>
      </c>
      <c r="I102" s="650">
        <v>0.56806071283761717</v>
      </c>
      <c r="J102" s="857">
        <v>0.6285666385979416</v>
      </c>
      <c r="K102" s="809"/>
      <c r="L102" s="795"/>
      <c r="M102" s="782"/>
    </row>
    <row r="103" spans="1:13" ht="15.5" hidden="1" x14ac:dyDescent="0.35">
      <c r="A103" s="660">
        <v>0.66661631057319637</v>
      </c>
      <c r="B103" s="795"/>
      <c r="C103" s="802"/>
      <c r="D103" s="818"/>
      <c r="E103" s="855"/>
      <c r="F103" s="856">
        <v>0.47322634564244992</v>
      </c>
      <c r="G103" s="650">
        <v>0.5730684987912118</v>
      </c>
      <c r="H103" s="650">
        <v>0.66661631057319637</v>
      </c>
      <c r="I103" s="650">
        <v>0.75497417595041783</v>
      </c>
      <c r="J103" s="857">
        <v>0.83891592375565582</v>
      </c>
      <c r="K103" s="809"/>
      <c r="L103" s="795"/>
      <c r="M103" s="782"/>
    </row>
    <row r="104" spans="1:13" ht="15.5" hidden="1" x14ac:dyDescent="0.35">
      <c r="A104" s="660">
        <v>0.33334987667595417</v>
      </c>
      <c r="B104" s="795"/>
      <c r="C104" s="802"/>
      <c r="D104" s="818"/>
      <c r="E104" s="855"/>
      <c r="F104" s="856">
        <v>0.2598093179585137</v>
      </c>
      <c r="G104" s="650">
        <v>0.29947747797041435</v>
      </c>
      <c r="H104" s="650">
        <v>0.33334987667595417</v>
      </c>
      <c r="I104" s="650">
        <v>0.362863971741888</v>
      </c>
      <c r="J104" s="857">
        <v>0.38897332792980999</v>
      </c>
      <c r="K104" s="809"/>
      <c r="L104" s="795"/>
      <c r="M104" s="782"/>
    </row>
    <row r="105" spans="1:13" ht="15.5" hidden="1" x14ac:dyDescent="0.35">
      <c r="A105" s="660">
        <v>2.6795050765088981</v>
      </c>
      <c r="B105" s="795"/>
      <c r="C105" s="802"/>
      <c r="D105" s="818"/>
      <c r="E105" s="855"/>
      <c r="F105" s="824">
        <v>3.4570687935420534</v>
      </c>
      <c r="G105" s="651">
        <v>3.012328588357319</v>
      </c>
      <c r="H105" s="651">
        <v>2.6795050765088981</v>
      </c>
      <c r="I105" s="651">
        <v>2.4405646839662758</v>
      </c>
      <c r="J105" s="825">
        <v>2.2303010230322129</v>
      </c>
      <c r="K105" s="809"/>
      <c r="L105" s="795"/>
      <c r="M105" s="782"/>
    </row>
    <row r="106" spans="1:13" ht="15.5" hidden="1" x14ac:dyDescent="0.35">
      <c r="A106" s="660">
        <v>2.6795050765088981</v>
      </c>
      <c r="B106" s="795"/>
      <c r="C106" s="802"/>
      <c r="D106" s="818"/>
      <c r="E106" s="855"/>
      <c r="F106" s="824">
        <v>3.4570687935420534</v>
      </c>
      <c r="G106" s="651">
        <v>3.012328588357319</v>
      </c>
      <c r="H106" s="651">
        <v>2.6795050765088981</v>
      </c>
      <c r="I106" s="651">
        <v>2.4405646839662758</v>
      </c>
      <c r="J106" s="825">
        <v>2.2303010230322129</v>
      </c>
      <c r="K106" s="809"/>
      <c r="L106" s="795"/>
      <c r="M106" s="782"/>
    </row>
    <row r="107" spans="1:13" ht="14.15" customHeight="1" x14ac:dyDescent="0.35">
      <c r="A107" s="660">
        <v>0</v>
      </c>
      <c r="B107" s="795"/>
      <c r="C107" s="802"/>
      <c r="D107" s="826" t="str">
        <f>$D$6</f>
        <v xml:space="preserve"> Change, %</v>
      </c>
      <c r="E107" s="827"/>
      <c r="F107" s="812">
        <f>IF(AND(ISNUMBER(F92),ISNUMBER($H92)),(F92-$H92)/IF($H92=0,0.00001,ABS($H92))*100,"")</f>
        <v>-37.023484871757702</v>
      </c>
      <c r="G107" s="813">
        <f>IF(AND(ISNUMBER(G92),ISNUMBER($H92)),(G92-$H92)/IF($H92=0,0.00001,ABS($H92))*100,"")</f>
        <v>-18.511742435878844</v>
      </c>
      <c r="H107" s="813">
        <v>0</v>
      </c>
      <c r="I107" s="813">
        <f>IF(AND(ISNUMBER(I92),ISNUMBER($H92)),(I92-$H92)/IF($H92=0,0.00001,ABS($H92))*100,"")</f>
        <v>18.511742435878919</v>
      </c>
      <c r="J107" s="815">
        <f>IF(AND(ISNUMBER(J92),ISNUMBER($H92)),(J92-$H92)/IF($H92=0,0.00001,ABS($H92))*100,"")</f>
        <v>37.023484871757752</v>
      </c>
      <c r="K107" s="809"/>
      <c r="L107" s="795"/>
      <c r="M107" s="782"/>
    </row>
    <row r="108" spans="1:13" ht="12.75" customHeight="1" x14ac:dyDescent="0.35">
      <c r="A108" s="660"/>
      <c r="B108" s="795"/>
      <c r="C108" s="802"/>
      <c r="D108" s="877"/>
      <c r="E108" s="878"/>
      <c r="F108" s="878"/>
      <c r="G108" s="878"/>
      <c r="H108" s="878"/>
      <c r="I108" s="878"/>
      <c r="J108" s="879"/>
      <c r="K108" s="809"/>
      <c r="L108" s="795"/>
      <c r="M108" s="782"/>
    </row>
    <row r="109" spans="1:13" ht="12.75" customHeight="1" x14ac:dyDescent="0.35">
      <c r="A109" s="660"/>
      <c r="B109" s="795"/>
      <c r="C109" s="802"/>
      <c r="D109" s="880"/>
      <c r="E109" s="830"/>
      <c r="F109" s="830"/>
      <c r="G109" s="830"/>
      <c r="H109" s="830"/>
      <c r="I109" s="830"/>
      <c r="J109" s="881"/>
      <c r="K109" s="809"/>
      <c r="L109" s="795"/>
      <c r="M109" s="782"/>
    </row>
    <row r="110" spans="1:13" ht="12.75" customHeight="1" x14ac:dyDescent="0.35">
      <c r="A110" s="660"/>
      <c r="B110" s="795"/>
      <c r="C110" s="802"/>
      <c r="D110" s="880"/>
      <c r="E110" s="830"/>
      <c r="F110" s="830"/>
      <c r="G110" s="830"/>
      <c r="H110" s="830"/>
      <c r="I110" s="830"/>
      <c r="J110" s="881"/>
      <c r="K110" s="809"/>
      <c r="L110" s="795"/>
      <c r="M110" s="782"/>
    </row>
    <row r="111" spans="1:13" ht="12.75" customHeight="1" x14ac:dyDescent="0.35">
      <c r="A111" s="660"/>
      <c r="B111" s="795"/>
      <c r="C111" s="802"/>
      <c r="D111" s="880"/>
      <c r="E111" s="830"/>
      <c r="F111" s="830"/>
      <c r="G111" s="830"/>
      <c r="H111" s="830"/>
      <c r="I111" s="830"/>
      <c r="J111" s="881"/>
      <c r="K111" s="809"/>
      <c r="L111" s="795"/>
      <c r="M111" s="782"/>
    </row>
    <row r="112" spans="1:13" ht="12.75" customHeight="1" x14ac:dyDescent="0.35">
      <c r="A112" s="660"/>
      <c r="B112" s="795"/>
      <c r="C112" s="802"/>
      <c r="D112" s="880"/>
      <c r="E112" s="830"/>
      <c r="F112" s="830"/>
      <c r="G112" s="830"/>
      <c r="H112" s="830"/>
      <c r="I112" s="830"/>
      <c r="J112" s="881"/>
      <c r="K112" s="809"/>
      <c r="L112" s="795"/>
      <c r="M112" s="782"/>
    </row>
    <row r="113" spans="1:13" ht="12.75" customHeight="1" x14ac:dyDescent="0.35">
      <c r="A113" s="660"/>
      <c r="B113" s="795"/>
      <c r="C113" s="802"/>
      <c r="D113" s="880"/>
      <c r="E113" s="830"/>
      <c r="F113" s="830"/>
      <c r="G113" s="830"/>
      <c r="H113" s="830"/>
      <c r="I113" s="830"/>
      <c r="J113" s="881"/>
      <c r="K113" s="809"/>
      <c r="L113" s="795"/>
      <c r="M113" s="782"/>
    </row>
    <row r="114" spans="1:13" ht="12.75" customHeight="1" x14ac:dyDescent="0.35">
      <c r="A114" s="660"/>
      <c r="B114" s="795"/>
      <c r="C114" s="802"/>
      <c r="D114" s="880"/>
      <c r="E114" s="830"/>
      <c r="F114" s="830"/>
      <c r="G114" s="830"/>
      <c r="H114" s="830"/>
      <c r="I114" s="830"/>
      <c r="J114" s="881"/>
      <c r="K114" s="809"/>
      <c r="L114" s="795"/>
      <c r="M114" s="782"/>
    </row>
    <row r="115" spans="1:13" ht="12.75" customHeight="1" x14ac:dyDescent="0.35">
      <c r="A115" s="660"/>
      <c r="B115" s="795"/>
      <c r="C115" s="802"/>
      <c r="D115" s="880"/>
      <c r="E115" s="830"/>
      <c r="F115" s="830"/>
      <c r="G115" s="830"/>
      <c r="H115" s="830"/>
      <c r="I115" s="830"/>
      <c r="J115" s="881"/>
      <c r="K115" s="809"/>
      <c r="L115" s="795"/>
      <c r="M115" s="782"/>
    </row>
    <row r="116" spans="1:13" ht="12.75" customHeight="1" x14ac:dyDescent="0.35">
      <c r="A116" s="660"/>
      <c r="B116" s="795"/>
      <c r="C116" s="802"/>
      <c r="D116" s="880"/>
      <c r="E116" s="830"/>
      <c r="F116" s="830"/>
      <c r="G116" s="830"/>
      <c r="H116" s="830"/>
      <c r="I116" s="830"/>
      <c r="J116" s="881"/>
      <c r="K116" s="809"/>
      <c r="L116" s="795"/>
      <c r="M116" s="782"/>
    </row>
    <row r="117" spans="1:13" ht="12.75" customHeight="1" x14ac:dyDescent="0.35">
      <c r="A117" s="660"/>
      <c r="B117" s="795"/>
      <c r="C117" s="802"/>
      <c r="D117" s="880"/>
      <c r="E117" s="830"/>
      <c r="F117" s="830"/>
      <c r="G117" s="830"/>
      <c r="H117" s="830"/>
      <c r="I117" s="830"/>
      <c r="J117" s="881"/>
      <c r="K117" s="809"/>
      <c r="L117" s="795"/>
      <c r="M117" s="782"/>
    </row>
    <row r="118" spans="1:13" ht="12.75" customHeight="1" x14ac:dyDescent="0.35">
      <c r="A118" s="660"/>
      <c r="B118" s="795"/>
      <c r="C118" s="802"/>
      <c r="D118" s="880"/>
      <c r="E118" s="830"/>
      <c r="F118" s="830"/>
      <c r="G118" s="830"/>
      <c r="H118" s="830"/>
      <c r="I118" s="830"/>
      <c r="J118" s="881"/>
      <c r="K118" s="809"/>
      <c r="L118" s="795"/>
      <c r="M118" s="782"/>
    </row>
    <row r="119" spans="1:13" ht="12.75" customHeight="1" x14ac:dyDescent="0.35">
      <c r="A119" s="660"/>
      <c r="B119" s="795"/>
      <c r="C119" s="802"/>
      <c r="D119" s="880"/>
      <c r="E119" s="830"/>
      <c r="F119" s="830"/>
      <c r="G119" s="830"/>
      <c r="H119" s="830"/>
      <c r="I119" s="830"/>
      <c r="J119" s="881"/>
      <c r="K119" s="809"/>
      <c r="L119" s="795"/>
      <c r="M119" s="782"/>
    </row>
    <row r="120" spans="1:13" ht="12.75" customHeight="1" x14ac:dyDescent="0.35">
      <c r="A120" s="660"/>
      <c r="B120" s="795"/>
      <c r="C120" s="802"/>
      <c r="D120" s="880"/>
      <c r="E120" s="830"/>
      <c r="F120" s="830"/>
      <c r="G120" s="830"/>
      <c r="H120" s="830"/>
      <c r="I120" s="830"/>
      <c r="J120" s="881"/>
      <c r="K120" s="809"/>
      <c r="L120" s="795"/>
      <c r="M120" s="782"/>
    </row>
    <row r="121" spans="1:13" ht="12.75" customHeight="1" x14ac:dyDescent="0.35">
      <c r="A121" s="660"/>
      <c r="B121" s="795"/>
      <c r="C121" s="802"/>
      <c r="D121" s="882"/>
      <c r="E121" s="883"/>
      <c r="F121" s="883"/>
      <c r="G121" s="883"/>
      <c r="H121" s="883"/>
      <c r="I121" s="883"/>
      <c r="J121" s="884"/>
      <c r="K121" s="809"/>
      <c r="L121" s="795"/>
      <c r="M121" s="782"/>
    </row>
    <row r="122" spans="1:13" ht="16" customHeight="1" x14ac:dyDescent="0.35">
      <c r="A122" s="660">
        <v>0</v>
      </c>
      <c r="B122" s="795"/>
      <c r="C122" s="802"/>
      <c r="D122" s="831" t="str">
        <f>$D$78</f>
        <v xml:space="preserve"> Key financials</v>
      </c>
      <c r="E122" s="885" t="str">
        <f>FinYearR02</f>
        <v>12/2019</v>
      </c>
      <c r="F122" s="886">
        <f>F91</f>
        <v>-20</v>
      </c>
      <c r="G122" s="887">
        <f>G91</f>
        <v>-10</v>
      </c>
      <c r="H122" s="887">
        <f>H91</f>
        <v>0</v>
      </c>
      <c r="I122" s="887">
        <f>I91</f>
        <v>10</v>
      </c>
      <c r="J122" s="888">
        <f>J91</f>
        <v>20</v>
      </c>
      <c r="K122" s="809"/>
      <c r="L122" s="795"/>
      <c r="M122" s="782"/>
    </row>
    <row r="123" spans="1:13" ht="16" customHeight="1" x14ac:dyDescent="0.35">
      <c r="A123" s="660">
        <v>0</v>
      </c>
      <c r="B123" s="795"/>
      <c r="C123" s="802"/>
      <c r="D123" s="831" t="str">
        <f>" "&amp;INDEX(RatiosDD,Analysis02Ratio01)</f>
        <v xml:space="preserve"> EBITDA; Operating income before depreciation, Euro</v>
      </c>
      <c r="E123" s="836"/>
      <c r="F123" s="840">
        <v>130674.21468031721</v>
      </c>
      <c r="G123" s="841">
        <v>247008.49151535681</v>
      </c>
      <c r="H123" s="841">
        <v>363342.76835039631</v>
      </c>
      <c r="I123" s="841">
        <v>479677.04518543626</v>
      </c>
      <c r="J123" s="842">
        <v>596011.32202047564</v>
      </c>
      <c r="K123" s="809"/>
      <c r="L123" s="795"/>
      <c r="M123" s="782"/>
    </row>
    <row r="124" spans="1:13" ht="16" customHeight="1" x14ac:dyDescent="0.35">
      <c r="A124" s="660"/>
      <c r="B124" s="795"/>
      <c r="C124" s="802"/>
      <c r="D124" s="831" t="str">
        <f>" "&amp;INDEX(RatiosDD,Analysis02Ratio02)</f>
        <v xml:space="preserve"> EBITDA, %</v>
      </c>
      <c r="E124" s="836"/>
      <c r="F124" s="864">
        <v>4.212243531165305E-2</v>
      </c>
      <c r="G124" s="865">
        <v>7.077549805480271E-2</v>
      </c>
      <c r="H124" s="865">
        <v>9.3697948249322413E-2</v>
      </c>
      <c r="I124" s="865">
        <v>0.1124526802266568</v>
      </c>
      <c r="J124" s="866">
        <v>0.12808162354110203</v>
      </c>
      <c r="K124" s="809"/>
      <c r="L124" s="795"/>
      <c r="M124" s="782"/>
    </row>
    <row r="125" spans="1:13" ht="16" customHeight="1" x14ac:dyDescent="0.35">
      <c r="A125" s="660" t="s">
        <v>39</v>
      </c>
      <c r="B125" s="795"/>
      <c r="C125" s="802"/>
      <c r="D125" s="831" t="str">
        <f>" "&amp;INDEX(RatiosDD,Analysis02Ratio03)</f>
        <v xml:space="preserve"> EBIT; Operating income, Euro</v>
      </c>
      <c r="E125" s="836"/>
      <c r="F125" s="840">
        <v>53007.548013650608</v>
      </c>
      <c r="G125" s="841">
        <v>169341.82484869022</v>
      </c>
      <c r="H125" s="841">
        <v>285676.10168372968</v>
      </c>
      <c r="I125" s="841">
        <v>402010.37851876963</v>
      </c>
      <c r="J125" s="842">
        <v>518344.65535380901</v>
      </c>
      <c r="K125" s="809"/>
      <c r="L125" s="795"/>
      <c r="M125" s="782"/>
    </row>
    <row r="126" spans="1:13" ht="16" customHeight="1" x14ac:dyDescent="0.35">
      <c r="A126" s="660"/>
      <c r="B126" s="795"/>
      <c r="C126" s="802"/>
      <c r="D126" s="831" t="str">
        <f>" "&amp;INDEX(RatiosDD,Analysis02Ratio04)</f>
        <v xml:space="preserve"> EBIT, %</v>
      </c>
      <c r="E126" s="836"/>
      <c r="F126" s="864">
        <v>1.7086821739826053E-2</v>
      </c>
      <c r="G126" s="865">
        <v>4.8521619324289819E-2</v>
      </c>
      <c r="H126" s="865">
        <v>7.3669457391860801E-2</v>
      </c>
      <c r="I126" s="865">
        <v>9.4244961265328067E-2</v>
      </c>
      <c r="J126" s="866">
        <v>0.11139121449321734</v>
      </c>
      <c r="K126" s="809"/>
      <c r="L126" s="795"/>
      <c r="M126" s="782"/>
    </row>
    <row r="127" spans="1:13" ht="16" customHeight="1" x14ac:dyDescent="0.35">
      <c r="A127" s="660"/>
      <c r="B127" s="795"/>
      <c r="C127" s="802"/>
      <c r="D127" s="831" t="str">
        <f>" "&amp;INDEX(RatiosDD,Analysis02Ratio05)</f>
        <v xml:space="preserve"> Return on net assets (RONA), %</v>
      </c>
      <c r="E127" s="836"/>
      <c r="F127" s="892">
        <v>1.3804602329483185E-2</v>
      </c>
      <c r="G127" s="893">
        <v>4.2419923155870148E-2</v>
      </c>
      <c r="H127" s="893">
        <v>6.893355284252442E-2</v>
      </c>
      <c r="I127" s="893">
        <v>9.3568831958016657E-2</v>
      </c>
      <c r="J127" s="894">
        <v>0.11651853866500174</v>
      </c>
      <c r="K127" s="809"/>
      <c r="L127" s="795"/>
      <c r="M127" s="782"/>
    </row>
    <row r="128" spans="1:13" ht="16" customHeight="1" x14ac:dyDescent="0.35">
      <c r="A128" s="660">
        <v>0</v>
      </c>
      <c r="B128" s="795"/>
      <c r="C128" s="802"/>
      <c r="D128" s="831" t="str">
        <f>" "&amp;INDEX(RatiosDD,Analysis02Ratio06)</f>
        <v xml:space="preserve"> Economic Value Added (EVA), Euro</v>
      </c>
      <c r="E128" s="836"/>
      <c r="F128" s="840">
        <v>-67430.332376829057</v>
      </c>
      <c r="G128" s="841">
        <v>12145.146909400573</v>
      </c>
      <c r="H128" s="841">
        <v>91720.626195630175</v>
      </c>
      <c r="I128" s="841">
        <v>171296.10548186005</v>
      </c>
      <c r="J128" s="842">
        <v>250871.58476808952</v>
      </c>
      <c r="K128" s="809"/>
      <c r="L128" s="795"/>
      <c r="M128" s="782"/>
    </row>
    <row r="129" spans="1:13" ht="5.15" customHeight="1" x14ac:dyDescent="0.35">
      <c r="A129" s="660"/>
      <c r="B129" s="795"/>
      <c r="C129" s="843"/>
      <c r="D129" s="844"/>
      <c r="E129" s="844"/>
      <c r="F129" s="844"/>
      <c r="G129" s="844"/>
      <c r="H129" s="844"/>
      <c r="I129" s="844"/>
      <c r="J129" s="844"/>
      <c r="K129" s="845"/>
      <c r="L129" s="795"/>
      <c r="M129" s="782"/>
    </row>
    <row r="130" spans="1:13" ht="5.15" customHeight="1" x14ac:dyDescent="0.35">
      <c r="A130" s="660"/>
      <c r="B130" s="282"/>
      <c r="C130" s="282"/>
      <c r="D130" s="282"/>
      <c r="E130" s="282"/>
      <c r="F130" s="282"/>
      <c r="G130" s="282"/>
      <c r="H130" s="282"/>
      <c r="I130" s="282"/>
      <c r="J130" s="282"/>
      <c r="K130" s="282"/>
      <c r="L130" s="282"/>
      <c r="M130" s="782"/>
    </row>
    <row r="131" spans="1:13" ht="12.75" customHeight="1" x14ac:dyDescent="0.35">
      <c r="A131" s="660"/>
      <c r="B131" s="282"/>
      <c r="C131" s="282"/>
      <c r="D131" s="282"/>
      <c r="E131" s="282"/>
      <c r="F131" s="282"/>
      <c r="G131" s="282"/>
      <c r="H131" s="282"/>
      <c r="I131" s="282"/>
      <c r="J131" s="282"/>
      <c r="K131" s="282"/>
      <c r="L131" s="282"/>
      <c r="M131" s="782"/>
    </row>
    <row r="132" spans="1:13" ht="5.15" customHeight="1" x14ac:dyDescent="0.35">
      <c r="A132" s="660" t="s">
        <v>1936</v>
      </c>
      <c r="B132" s="282"/>
      <c r="C132" s="282"/>
      <c r="D132" s="282"/>
      <c r="E132" s="282"/>
      <c r="F132" s="282"/>
      <c r="G132" s="282"/>
      <c r="H132" s="282"/>
      <c r="I132" s="282"/>
      <c r="J132" s="282"/>
      <c r="K132" s="282"/>
      <c r="L132" s="282"/>
      <c r="M132" s="782"/>
    </row>
    <row r="133" spans="1:13" ht="15" customHeight="1" x14ac:dyDescent="0.35">
      <c r="A133" s="660" t="s">
        <v>1936</v>
      </c>
      <c r="B133" s="795"/>
      <c r="C133" s="796" t="s">
        <v>1937</v>
      </c>
      <c r="D133" s="797"/>
      <c r="E133" s="797"/>
      <c r="F133" s="797"/>
      <c r="G133" s="797"/>
      <c r="H133" s="797"/>
      <c r="I133" s="797"/>
      <c r="J133" s="797"/>
      <c r="K133" s="798"/>
      <c r="L133" s="795"/>
      <c r="M133" s="782"/>
    </row>
    <row r="134" spans="1:13" ht="5.15" customHeight="1" x14ac:dyDescent="0.35">
      <c r="A134" s="660"/>
      <c r="B134" s="795"/>
      <c r="C134" s="867"/>
      <c r="D134" s="868"/>
      <c r="E134" s="868"/>
      <c r="F134" s="788">
        <f ca="1">1+(OFFSET(F134,1,0)/100)</f>
        <v>0.8</v>
      </c>
      <c r="G134" s="788">
        <f ca="1">(1+(OFFSET(G134,1,0)/100))/F134</f>
        <v>1.125</v>
      </c>
      <c r="H134" s="869"/>
      <c r="I134" s="788">
        <f ca="1">(1+(OFFSET(I134,1,0)/100))/(1+(OFFSET(G134,1,0)/100))</f>
        <v>1.2222222222222223</v>
      </c>
      <c r="J134" s="788">
        <f ca="1">(1+(OFFSET(J134,1,0)/100))/(1+(OFFSET(I134,1,0)/100))</f>
        <v>1.0909090909090908</v>
      </c>
      <c r="K134" s="870"/>
      <c r="L134" s="795"/>
      <c r="M134" s="782"/>
    </row>
    <row r="135" spans="1:13" ht="15" customHeight="1" x14ac:dyDescent="0.35">
      <c r="A135" s="660">
        <v>0</v>
      </c>
      <c r="B135" s="795"/>
      <c r="C135" s="802"/>
      <c r="D135" s="871" t="s">
        <v>1938</v>
      </c>
      <c r="E135" s="872"/>
      <c r="F135" s="873">
        <v>-20</v>
      </c>
      <c r="G135" s="874">
        <v>-10</v>
      </c>
      <c r="H135" s="875">
        <v>0</v>
      </c>
      <c r="I135" s="874">
        <v>10</v>
      </c>
      <c r="J135" s="876">
        <v>20</v>
      </c>
      <c r="K135" s="809"/>
      <c r="L135" s="795"/>
      <c r="M135" s="782"/>
    </row>
    <row r="136" spans="1:13" ht="16" customHeight="1" x14ac:dyDescent="0.35">
      <c r="A136" s="660">
        <v>12348686.255399536</v>
      </c>
      <c r="B136" s="795"/>
      <c r="C136" s="802"/>
      <c r="D136" s="816" t="str">
        <f>$D$48</f>
        <v xml:space="preserve"> Net Present Value (NPV)</v>
      </c>
      <c r="E136" s="854"/>
      <c r="F136" s="1226">
        <v>23167551.546876982</v>
      </c>
      <c r="G136" s="1227">
        <v>17758118.901138257</v>
      </c>
      <c r="H136" s="1228">
        <v>12348686.255399536</v>
      </c>
      <c r="I136" s="1229">
        <v>6939253.6096608043</v>
      </c>
      <c r="J136" s="1230">
        <v>1360133.20709681</v>
      </c>
      <c r="K136" s="809"/>
      <c r="L136" s="795"/>
      <c r="M136" s="782"/>
    </row>
    <row r="137" spans="1:13" ht="15.5" hidden="1" x14ac:dyDescent="0.35">
      <c r="A137" s="660">
        <v>12348686.255399536</v>
      </c>
      <c r="B137" s="795"/>
      <c r="C137" s="802"/>
      <c r="D137" s="818"/>
      <c r="E137" s="855"/>
      <c r="F137" s="820">
        <v>23167551.546876982</v>
      </c>
      <c r="G137" s="647">
        <v>17758118.901138257</v>
      </c>
      <c r="H137" s="647">
        <v>12348686.255399536</v>
      </c>
      <c r="I137" s="647">
        <v>6939253.6096608043</v>
      </c>
      <c r="J137" s="821">
        <v>1360133.20709681</v>
      </c>
      <c r="K137" s="809"/>
      <c r="L137" s="795"/>
      <c r="M137" s="782"/>
    </row>
    <row r="138" spans="1:13" ht="15.5" hidden="1" x14ac:dyDescent="0.35">
      <c r="A138" s="660">
        <v>0.50339226561054384</v>
      </c>
      <c r="B138" s="795"/>
      <c r="C138" s="802"/>
      <c r="D138" s="818"/>
      <c r="E138" s="855"/>
      <c r="F138" s="856">
        <v>0.93685495151663156</v>
      </c>
      <c r="G138" s="650">
        <v>0.71419757738047762</v>
      </c>
      <c r="H138" s="650">
        <v>0.50339226561054384</v>
      </c>
      <c r="I138" s="650">
        <v>0.29774200342611512</v>
      </c>
      <c r="J138" s="857">
        <v>8.1126176633314895E-2</v>
      </c>
      <c r="K138" s="809"/>
      <c r="L138" s="795"/>
      <c r="M138" s="782"/>
    </row>
    <row r="139" spans="1:13" ht="15.5" hidden="1" x14ac:dyDescent="0.35">
      <c r="A139" s="660">
        <v>0.66661631057319637</v>
      </c>
      <c r="B139" s="795"/>
      <c r="C139" s="802"/>
      <c r="D139" s="818"/>
      <c r="E139" s="855"/>
      <c r="F139" s="856">
        <v>1.2669899728895664</v>
      </c>
      <c r="G139" s="650">
        <v>0.95271023507039931</v>
      </c>
      <c r="H139" s="650">
        <v>0.66661631057319637</v>
      </c>
      <c r="I139" s="650">
        <v>0.39667120725706773</v>
      </c>
      <c r="J139" s="857">
        <v>0.12819115408255244</v>
      </c>
      <c r="K139" s="809"/>
      <c r="L139" s="795"/>
      <c r="M139" s="782"/>
    </row>
    <row r="140" spans="1:13" ht="15.5" hidden="1" x14ac:dyDescent="0.35">
      <c r="A140" s="660">
        <v>0.34153595866392839</v>
      </c>
      <c r="B140" s="795"/>
      <c r="C140" s="802"/>
      <c r="D140" s="818"/>
      <c r="E140" s="855"/>
      <c r="F140" s="856">
        <v>0.50859635678314685</v>
      </c>
      <c r="G140" s="650">
        <v>0.43000007032209808</v>
      </c>
      <c r="H140" s="650">
        <v>0.34153595866392839</v>
      </c>
      <c r="I140" s="650">
        <v>0.23468211469758105</v>
      </c>
      <c r="J140" s="857">
        <v>7.6393765222291021E-2</v>
      </c>
      <c r="K140" s="809"/>
      <c r="L140" s="795"/>
      <c r="M140" s="782"/>
    </row>
    <row r="141" spans="1:13" ht="15.5" hidden="1" x14ac:dyDescent="0.35">
      <c r="A141" s="660">
        <v>5.3893498684684742</v>
      </c>
      <c r="B141" s="795"/>
      <c r="C141" s="802"/>
      <c r="D141" s="818"/>
      <c r="E141" s="855"/>
      <c r="F141" s="822">
        <v>9.2349237183474742</v>
      </c>
      <c r="G141" s="649">
        <v>7.3121367934079737</v>
      </c>
      <c r="H141" s="649">
        <v>5.3893498684684742</v>
      </c>
      <c r="I141" s="649">
        <v>3.466562943528972</v>
      </c>
      <c r="J141" s="823">
        <v>1.4834603770955412</v>
      </c>
      <c r="K141" s="809"/>
      <c r="L141" s="795"/>
      <c r="M141" s="782"/>
    </row>
    <row r="142" spans="1:13" ht="15.5" hidden="1" x14ac:dyDescent="0.35">
      <c r="A142" s="660">
        <v>12240577.31097028</v>
      </c>
      <c r="B142" s="795"/>
      <c r="C142" s="802"/>
      <c r="D142" s="818"/>
      <c r="E142" s="855"/>
      <c r="F142" s="820">
        <v>23061507.807353344</v>
      </c>
      <c r="G142" s="647">
        <v>17651042.559161808</v>
      </c>
      <c r="H142" s="647">
        <v>12240577.31097028</v>
      </c>
      <c r="I142" s="647">
        <v>6830112.0627787411</v>
      </c>
      <c r="J142" s="821">
        <v>1249959.0577619392</v>
      </c>
      <c r="K142" s="809"/>
      <c r="L142" s="795"/>
      <c r="M142" s="782"/>
    </row>
    <row r="143" spans="1:13" ht="15.5" hidden="1" x14ac:dyDescent="0.35">
      <c r="A143" s="660">
        <v>2.7706957805444561</v>
      </c>
      <c r="B143" s="795"/>
      <c r="C143" s="802"/>
      <c r="D143" s="818"/>
      <c r="E143" s="855"/>
      <c r="F143" s="824">
        <v>1.5584700864235073</v>
      </c>
      <c r="G143" s="651">
        <v>2.0207358506861772</v>
      </c>
      <c r="H143" s="651">
        <v>2.7706957805444561</v>
      </c>
      <c r="I143" s="651">
        <v>4.1265257896577259</v>
      </c>
      <c r="J143" s="825" t="s">
        <v>39</v>
      </c>
      <c r="K143" s="809"/>
      <c r="L143" s="795"/>
      <c r="M143" s="782"/>
    </row>
    <row r="144" spans="1:13" ht="15.5" hidden="1" x14ac:dyDescent="0.35">
      <c r="A144" s="660">
        <v>2.6795050765088981</v>
      </c>
      <c r="B144" s="795"/>
      <c r="C144" s="802"/>
      <c r="D144" s="818"/>
      <c r="E144" s="855"/>
      <c r="F144" s="824">
        <v>1.5203916552297214</v>
      </c>
      <c r="G144" s="651">
        <v>1.9561885776547794</v>
      </c>
      <c r="H144" s="651">
        <v>2.6795050765088981</v>
      </c>
      <c r="I144" s="651">
        <v>3.9527567995238164</v>
      </c>
      <c r="J144" s="825" t="s">
        <v>39</v>
      </c>
      <c r="K144" s="809"/>
      <c r="L144" s="795"/>
      <c r="M144" s="782"/>
    </row>
    <row r="145" spans="1:13" ht="15.5" hidden="1" x14ac:dyDescent="0.35">
      <c r="A145" s="660">
        <v>14329994.434887145</v>
      </c>
      <c r="B145" s="795"/>
      <c r="C145" s="802"/>
      <c r="D145" s="818"/>
      <c r="E145" s="855"/>
      <c r="F145" s="820">
        <v>26234586.550942115</v>
      </c>
      <c r="G145" s="647">
        <v>20282290.492914625</v>
      </c>
      <c r="H145" s="647">
        <v>14329994.434887145</v>
      </c>
      <c r="I145" s="647">
        <v>8377698.37685965</v>
      </c>
      <c r="J145" s="821">
        <v>2251444.905286693</v>
      </c>
      <c r="K145" s="809"/>
      <c r="L145" s="795"/>
      <c r="M145" s="782"/>
    </row>
    <row r="146" spans="1:13" ht="15.5" hidden="1" x14ac:dyDescent="0.35">
      <c r="A146" s="660">
        <v>0.50339226561054384</v>
      </c>
      <c r="B146" s="795"/>
      <c r="C146" s="802"/>
      <c r="D146" s="818"/>
      <c r="E146" s="855"/>
      <c r="F146" s="856">
        <v>0.93685495151663778</v>
      </c>
      <c r="G146" s="650">
        <v>0.7141975773804814</v>
      </c>
      <c r="H146" s="650">
        <v>0.50339226561054384</v>
      </c>
      <c r="I146" s="650">
        <v>0.29774200342611512</v>
      </c>
      <c r="J146" s="857">
        <v>8.1126176633314895E-2</v>
      </c>
      <c r="K146" s="809"/>
      <c r="L146" s="795"/>
      <c r="M146" s="782"/>
    </row>
    <row r="147" spans="1:13" ht="15.5" hidden="1" x14ac:dyDescent="0.35">
      <c r="A147" s="660">
        <v>0.66661631057319637</v>
      </c>
      <c r="B147" s="795"/>
      <c r="C147" s="802"/>
      <c r="D147" s="818"/>
      <c r="E147" s="855"/>
      <c r="F147" s="856">
        <v>1.2669899728895664</v>
      </c>
      <c r="G147" s="650">
        <v>0.95271023507039931</v>
      </c>
      <c r="H147" s="650">
        <v>0.66661631057319637</v>
      </c>
      <c r="I147" s="650">
        <v>0.39667120725706773</v>
      </c>
      <c r="J147" s="857">
        <v>0.12819115408255533</v>
      </c>
      <c r="K147" s="809"/>
      <c r="L147" s="795"/>
      <c r="M147" s="782"/>
    </row>
    <row r="148" spans="1:13" ht="15.5" hidden="1" x14ac:dyDescent="0.35">
      <c r="A148" s="660">
        <v>0.33334987667595417</v>
      </c>
      <c r="B148" s="795"/>
      <c r="C148" s="802"/>
      <c r="D148" s="818"/>
      <c r="E148" s="855"/>
      <c r="F148" s="856">
        <v>0.49769446659367622</v>
      </c>
      <c r="G148" s="650">
        <v>0.42027363889357994</v>
      </c>
      <c r="H148" s="650">
        <v>0.33334987667595417</v>
      </c>
      <c r="I148" s="650">
        <v>0.22881767663410124</v>
      </c>
      <c r="J148" s="857">
        <v>7.3904156509714714E-2</v>
      </c>
      <c r="K148" s="809"/>
      <c r="L148" s="795"/>
      <c r="M148" s="782"/>
    </row>
    <row r="149" spans="1:13" ht="15.5" hidden="1" x14ac:dyDescent="0.35">
      <c r="A149" s="660">
        <v>2.6795050765088981</v>
      </c>
      <c r="B149" s="795"/>
      <c r="C149" s="802"/>
      <c r="D149" s="818"/>
      <c r="E149" s="855"/>
      <c r="F149" s="824">
        <v>1.5203916552297214</v>
      </c>
      <c r="G149" s="651">
        <v>1.9561885776547794</v>
      </c>
      <c r="H149" s="651">
        <v>2.6795050765088981</v>
      </c>
      <c r="I149" s="651">
        <v>3.9527567995238164</v>
      </c>
      <c r="J149" s="825" t="s">
        <v>39</v>
      </c>
      <c r="K149" s="809"/>
      <c r="L149" s="795"/>
      <c r="M149" s="782"/>
    </row>
    <row r="150" spans="1:13" ht="15.5" hidden="1" x14ac:dyDescent="0.35">
      <c r="A150" s="660">
        <v>2.6795050765088981</v>
      </c>
      <c r="B150" s="795"/>
      <c r="C150" s="802"/>
      <c r="D150" s="818"/>
      <c r="E150" s="855"/>
      <c r="F150" s="824">
        <v>1.5203916552297214</v>
      </c>
      <c r="G150" s="651">
        <v>1.9561885776547794</v>
      </c>
      <c r="H150" s="651">
        <v>2.6795050765088981</v>
      </c>
      <c r="I150" s="651">
        <v>3.9527567995238164</v>
      </c>
      <c r="J150" s="825" t="s">
        <v>39</v>
      </c>
      <c r="K150" s="809"/>
      <c r="L150" s="795"/>
      <c r="M150" s="782"/>
    </row>
    <row r="151" spans="1:13" ht="14.15" customHeight="1" x14ac:dyDescent="0.35">
      <c r="A151" s="660">
        <v>0</v>
      </c>
      <c r="B151" s="795"/>
      <c r="C151" s="802"/>
      <c r="D151" s="826" t="str">
        <f>$D$6</f>
        <v xml:space="preserve"> Change, %</v>
      </c>
      <c r="E151" s="827"/>
      <c r="F151" s="812">
        <f>IF(AND(ISNUMBER(F136),ISNUMBER($H136)),(F136-$H136)/IF($H136=0,0.00001,ABS($H136))*100,"")</f>
        <v>87.611467873732991</v>
      </c>
      <c r="G151" s="813">
        <f>IF(AND(ISNUMBER(G136),ISNUMBER($H136)),(G136-$H136)/IF($H136=0,0.00001,ABS($H136))*100,"")</f>
        <v>43.805733936866474</v>
      </c>
      <c r="H151" s="813">
        <v>0</v>
      </c>
      <c r="I151" s="813">
        <f>IF(AND(ISNUMBER(I136),ISNUMBER($H136)),(I136-$H136)/IF($H136=0,0.00001,ABS($H136))*100,"")</f>
        <v>-43.805733936866567</v>
      </c>
      <c r="J151" s="815">
        <f>IF(AND(ISNUMBER(J136),ISNUMBER($H136)),(J136-$H136)/IF($H136=0,0.00001,ABS($H136))*100,"")</f>
        <v>-88.985603982754981</v>
      </c>
      <c r="K151" s="809"/>
      <c r="L151" s="795"/>
      <c r="M151" s="782"/>
    </row>
    <row r="152" spans="1:13" ht="12.75" customHeight="1" x14ac:dyDescent="0.35">
      <c r="A152" s="660"/>
      <c r="B152" s="795"/>
      <c r="C152" s="802"/>
      <c r="D152" s="877"/>
      <c r="E152" s="878"/>
      <c r="F152" s="878"/>
      <c r="G152" s="878"/>
      <c r="H152" s="878"/>
      <c r="I152" s="878"/>
      <c r="J152" s="879"/>
      <c r="K152" s="809"/>
      <c r="L152" s="795"/>
      <c r="M152" s="782"/>
    </row>
    <row r="153" spans="1:13" ht="12.75" customHeight="1" x14ac:dyDescent="0.35">
      <c r="A153" s="660"/>
      <c r="B153" s="795"/>
      <c r="C153" s="802"/>
      <c r="D153" s="880"/>
      <c r="E153" s="830"/>
      <c r="F153" s="830"/>
      <c r="G153" s="830"/>
      <c r="H153" s="830"/>
      <c r="I153" s="830"/>
      <c r="J153" s="881"/>
      <c r="K153" s="809"/>
      <c r="L153" s="795"/>
      <c r="M153" s="782"/>
    </row>
    <row r="154" spans="1:13" ht="12.75" customHeight="1" x14ac:dyDescent="0.35">
      <c r="A154" s="660"/>
      <c r="B154" s="795"/>
      <c r="C154" s="802"/>
      <c r="D154" s="880"/>
      <c r="E154" s="830"/>
      <c r="F154" s="830"/>
      <c r="G154" s="830"/>
      <c r="H154" s="830"/>
      <c r="I154" s="830"/>
      <c r="J154" s="881"/>
      <c r="K154" s="809"/>
      <c r="L154" s="795"/>
      <c r="M154" s="782"/>
    </row>
    <row r="155" spans="1:13" ht="12.75" customHeight="1" x14ac:dyDescent="0.35">
      <c r="A155" s="660"/>
      <c r="B155" s="795"/>
      <c r="C155" s="802"/>
      <c r="D155" s="880"/>
      <c r="E155" s="830"/>
      <c r="F155" s="830"/>
      <c r="G155" s="830"/>
      <c r="H155" s="830"/>
      <c r="I155" s="830"/>
      <c r="J155" s="881"/>
      <c r="K155" s="809"/>
      <c r="L155" s="795"/>
      <c r="M155" s="782"/>
    </row>
    <row r="156" spans="1:13" ht="12.75" customHeight="1" x14ac:dyDescent="0.35">
      <c r="A156" s="660"/>
      <c r="B156" s="795"/>
      <c r="C156" s="802"/>
      <c r="D156" s="880"/>
      <c r="E156" s="830"/>
      <c r="F156" s="830"/>
      <c r="G156" s="830"/>
      <c r="H156" s="830"/>
      <c r="I156" s="830"/>
      <c r="J156" s="881"/>
      <c r="K156" s="809"/>
      <c r="L156" s="795"/>
      <c r="M156" s="782"/>
    </row>
    <row r="157" spans="1:13" ht="12.75" customHeight="1" x14ac:dyDescent="0.35">
      <c r="A157" s="660"/>
      <c r="B157" s="795"/>
      <c r="C157" s="802"/>
      <c r="D157" s="880"/>
      <c r="E157" s="830"/>
      <c r="F157" s="830"/>
      <c r="G157" s="830"/>
      <c r="H157" s="830"/>
      <c r="I157" s="830"/>
      <c r="J157" s="881"/>
      <c r="K157" s="809"/>
      <c r="L157" s="795"/>
      <c r="M157" s="782"/>
    </row>
    <row r="158" spans="1:13" ht="12.75" customHeight="1" x14ac:dyDescent="0.35">
      <c r="A158" s="660"/>
      <c r="B158" s="795"/>
      <c r="C158" s="802"/>
      <c r="D158" s="880"/>
      <c r="E158" s="830"/>
      <c r="F158" s="830"/>
      <c r="G158" s="830"/>
      <c r="H158" s="830"/>
      <c r="I158" s="830"/>
      <c r="J158" s="881"/>
      <c r="K158" s="809"/>
      <c r="L158" s="795"/>
      <c r="M158" s="782"/>
    </row>
    <row r="159" spans="1:13" ht="12.75" customHeight="1" x14ac:dyDescent="0.35">
      <c r="A159" s="660"/>
      <c r="B159" s="795"/>
      <c r="C159" s="802"/>
      <c r="D159" s="880"/>
      <c r="E159" s="830"/>
      <c r="F159" s="830"/>
      <c r="G159" s="830"/>
      <c r="H159" s="830"/>
      <c r="I159" s="830"/>
      <c r="J159" s="881"/>
      <c r="K159" s="809"/>
      <c r="L159" s="795"/>
      <c r="M159" s="782"/>
    </row>
    <row r="160" spans="1:13" ht="12.75" customHeight="1" x14ac:dyDescent="0.35">
      <c r="A160" s="660"/>
      <c r="B160" s="795"/>
      <c r="C160" s="802"/>
      <c r="D160" s="880"/>
      <c r="E160" s="830"/>
      <c r="F160" s="830"/>
      <c r="G160" s="830"/>
      <c r="H160" s="830"/>
      <c r="I160" s="830"/>
      <c r="J160" s="881"/>
      <c r="K160" s="809"/>
      <c r="L160" s="795"/>
      <c r="M160" s="782"/>
    </row>
    <row r="161" spans="1:13" ht="12.75" customHeight="1" x14ac:dyDescent="0.35">
      <c r="A161" s="660"/>
      <c r="B161" s="795"/>
      <c r="C161" s="802"/>
      <c r="D161" s="880"/>
      <c r="E161" s="830"/>
      <c r="F161" s="830"/>
      <c r="G161" s="830"/>
      <c r="H161" s="830"/>
      <c r="I161" s="830"/>
      <c r="J161" s="881"/>
      <c r="K161" s="809"/>
      <c r="L161" s="795"/>
      <c r="M161" s="782"/>
    </row>
    <row r="162" spans="1:13" ht="12.75" customHeight="1" x14ac:dyDescent="0.35">
      <c r="A162" s="660"/>
      <c r="B162" s="795"/>
      <c r="C162" s="802"/>
      <c r="D162" s="880"/>
      <c r="E162" s="830"/>
      <c r="F162" s="830"/>
      <c r="G162" s="830"/>
      <c r="H162" s="830"/>
      <c r="I162" s="830"/>
      <c r="J162" s="881"/>
      <c r="K162" s="809"/>
      <c r="L162" s="795"/>
      <c r="M162" s="782"/>
    </row>
    <row r="163" spans="1:13" ht="12.75" customHeight="1" x14ac:dyDescent="0.35">
      <c r="A163" s="660"/>
      <c r="B163" s="795"/>
      <c r="C163" s="802"/>
      <c r="D163" s="880"/>
      <c r="E163" s="830"/>
      <c r="F163" s="830"/>
      <c r="G163" s="830"/>
      <c r="H163" s="830"/>
      <c r="I163" s="830"/>
      <c r="J163" s="881"/>
      <c r="K163" s="809"/>
      <c r="L163" s="795"/>
      <c r="M163" s="782"/>
    </row>
    <row r="164" spans="1:13" ht="12.75" customHeight="1" x14ac:dyDescent="0.35">
      <c r="A164" s="660"/>
      <c r="B164" s="795"/>
      <c r="C164" s="802"/>
      <c r="D164" s="880"/>
      <c r="E164" s="830"/>
      <c r="F164" s="830"/>
      <c r="G164" s="830"/>
      <c r="H164" s="830"/>
      <c r="I164" s="830"/>
      <c r="J164" s="881"/>
      <c r="K164" s="809"/>
      <c r="L164" s="795"/>
      <c r="M164" s="782"/>
    </row>
    <row r="165" spans="1:13" ht="12.75" customHeight="1" x14ac:dyDescent="0.35">
      <c r="A165" s="660"/>
      <c r="B165" s="795"/>
      <c r="C165" s="802"/>
      <c r="D165" s="882"/>
      <c r="E165" s="883"/>
      <c r="F165" s="883"/>
      <c r="G165" s="883"/>
      <c r="H165" s="883"/>
      <c r="I165" s="883"/>
      <c r="J165" s="884"/>
      <c r="K165" s="809"/>
      <c r="L165" s="795"/>
      <c r="M165" s="782"/>
    </row>
    <row r="166" spans="1:13" ht="16" customHeight="1" x14ac:dyDescent="0.35">
      <c r="A166" s="660">
        <v>0</v>
      </c>
      <c r="B166" s="795"/>
      <c r="C166" s="802"/>
      <c r="D166" s="831" t="str">
        <f>$D$78</f>
        <v xml:space="preserve"> Key financials</v>
      </c>
      <c r="E166" s="885" t="str">
        <f>FinYearR03</f>
        <v>12/2019</v>
      </c>
      <c r="F166" s="889">
        <f>F135</f>
        <v>-20</v>
      </c>
      <c r="G166" s="890">
        <f>G135</f>
        <v>-10</v>
      </c>
      <c r="H166" s="890">
        <f>H135</f>
        <v>0</v>
      </c>
      <c r="I166" s="890">
        <f>I135</f>
        <v>10</v>
      </c>
      <c r="J166" s="891">
        <f>J135</f>
        <v>20</v>
      </c>
      <c r="K166" s="809"/>
      <c r="L166" s="795"/>
      <c r="M166" s="782"/>
    </row>
    <row r="167" spans="1:13" ht="16" customHeight="1" x14ac:dyDescent="0.35">
      <c r="A167" s="660">
        <v>0</v>
      </c>
      <c r="B167" s="795"/>
      <c r="C167" s="802"/>
      <c r="D167" s="831" t="str">
        <f>" "&amp;INDEX(RatiosDD,Analysis03Ratio01)</f>
        <v xml:space="preserve"> EBITDA; Operating income before depreciation, Euro</v>
      </c>
      <c r="E167" s="836"/>
      <c r="F167" s="840">
        <v>906236.06024724792</v>
      </c>
      <c r="G167" s="841">
        <v>634789.41429882217</v>
      </c>
      <c r="H167" s="841">
        <v>363342.76835039631</v>
      </c>
      <c r="I167" s="841">
        <v>91896.122401970322</v>
      </c>
      <c r="J167" s="842">
        <v>-179550.52354645531</v>
      </c>
      <c r="K167" s="809"/>
      <c r="L167" s="795"/>
      <c r="M167" s="782"/>
    </row>
    <row r="168" spans="1:13" ht="16" customHeight="1" x14ac:dyDescent="0.35">
      <c r="A168" s="660"/>
      <c r="B168" s="795"/>
      <c r="C168" s="802"/>
      <c r="D168" s="831" t="str">
        <f>" "&amp;INDEX(RatiosDD,Analysis03Ratio02)</f>
        <v xml:space="preserve"> EBITDA, %</v>
      </c>
      <c r="E168" s="836"/>
      <c r="F168" s="864">
        <v>0.23369794824932241</v>
      </c>
      <c r="G168" s="865">
        <v>0.16369794824932243</v>
      </c>
      <c r="H168" s="865">
        <v>9.3697948249322413E-2</v>
      </c>
      <c r="I168" s="865">
        <v>2.3697948249322358E-2</v>
      </c>
      <c r="J168" s="866">
        <v>-4.6302051750677607E-2</v>
      </c>
      <c r="K168" s="809"/>
      <c r="L168" s="795"/>
      <c r="M168" s="782"/>
    </row>
    <row r="169" spans="1:13" ht="16" customHeight="1" x14ac:dyDescent="0.35">
      <c r="A169" s="660" t="s">
        <v>39</v>
      </c>
      <c r="B169" s="795"/>
      <c r="C169" s="802"/>
      <c r="D169" s="831" t="str">
        <f>" "&amp;INDEX(RatiosDD,Analysis03Ratio03)</f>
        <v xml:space="preserve"> EBIT; Operating income, Euro</v>
      </c>
      <c r="E169" s="836"/>
      <c r="F169" s="840">
        <v>828569.39358058141</v>
      </c>
      <c r="G169" s="841">
        <v>557122.74763215566</v>
      </c>
      <c r="H169" s="841">
        <v>285676.10168372968</v>
      </c>
      <c r="I169" s="841">
        <v>14229.455735303725</v>
      </c>
      <c r="J169" s="842">
        <v>-257217.19021312191</v>
      </c>
      <c r="K169" s="809"/>
      <c r="L169" s="795"/>
      <c r="M169" s="782"/>
    </row>
    <row r="170" spans="1:13" ht="16" customHeight="1" x14ac:dyDescent="0.35">
      <c r="A170" s="660"/>
      <c r="B170" s="795"/>
      <c r="C170" s="802"/>
      <c r="D170" s="831" t="str">
        <f>" "&amp;INDEX(RatiosDD,Analysis03Ratio04)</f>
        <v xml:space="preserve"> EBIT, %</v>
      </c>
      <c r="E170" s="836"/>
      <c r="F170" s="864">
        <v>0.21366945739186086</v>
      </c>
      <c r="G170" s="865">
        <v>0.14366945739186085</v>
      </c>
      <c r="H170" s="865">
        <v>7.3669457391860801E-2</v>
      </c>
      <c r="I170" s="865">
        <v>3.6694573918607571E-3</v>
      </c>
      <c r="J170" s="866">
        <v>-6.6330542608139212E-2</v>
      </c>
      <c r="K170" s="809"/>
      <c r="L170" s="795"/>
      <c r="M170" s="782"/>
    </row>
    <row r="171" spans="1:13" ht="16" customHeight="1" x14ac:dyDescent="0.35">
      <c r="A171" s="660"/>
      <c r="B171" s="795"/>
      <c r="C171" s="802"/>
      <c r="D171" s="831" t="str">
        <f>" "&amp;INDEX(RatiosDD,Analysis03Ratio05)</f>
        <v xml:space="preserve"> Return on net assets (RONA), %</v>
      </c>
      <c r="E171" s="836"/>
      <c r="F171" s="892">
        <v>0.20515834203171099</v>
      </c>
      <c r="G171" s="893">
        <v>0.13616744472883033</v>
      </c>
      <c r="H171" s="893">
        <v>6.893355284252442E-2</v>
      </c>
      <c r="I171" s="893">
        <v>3.3903912645188833E-3</v>
      </c>
      <c r="J171" s="894">
        <v>-6.0525023263957083E-2</v>
      </c>
      <c r="K171" s="809"/>
      <c r="L171" s="795"/>
      <c r="M171" s="782"/>
    </row>
    <row r="172" spans="1:13" ht="16" customHeight="1" x14ac:dyDescent="0.35">
      <c r="A172" s="660">
        <v>0</v>
      </c>
      <c r="B172" s="795"/>
      <c r="C172" s="802"/>
      <c r="D172" s="831" t="str">
        <f>" "&amp;INDEX(RatiosDD,Analysis03Ratio06)</f>
        <v xml:space="preserve"> Economic Value Added (EVA), Euro</v>
      </c>
      <c r="E172" s="836"/>
      <c r="F172" s="840">
        <v>485506.19625153218</v>
      </c>
      <c r="G172" s="841">
        <v>288613.41122358129</v>
      </c>
      <c r="H172" s="841">
        <v>91720.626195630175</v>
      </c>
      <c r="I172" s="841">
        <v>-105172.15883232096</v>
      </c>
      <c r="J172" s="842">
        <v>-374085.75711994595</v>
      </c>
      <c r="K172" s="809"/>
      <c r="L172" s="795"/>
      <c r="M172" s="782"/>
    </row>
    <row r="173" spans="1:13" ht="5.15" customHeight="1" x14ac:dyDescent="0.35">
      <c r="A173" s="660"/>
      <c r="B173" s="795"/>
      <c r="C173" s="843"/>
      <c r="D173" s="844"/>
      <c r="E173" s="844"/>
      <c r="F173" s="844"/>
      <c r="G173" s="844"/>
      <c r="H173" s="844"/>
      <c r="I173" s="844"/>
      <c r="J173" s="844"/>
      <c r="K173" s="845"/>
      <c r="L173" s="795"/>
      <c r="M173" s="782"/>
    </row>
    <row r="174" spans="1:13" ht="5.15" customHeight="1" x14ac:dyDescent="0.35">
      <c r="A174" s="660"/>
      <c r="B174" s="282"/>
      <c r="C174" s="282"/>
      <c r="D174" s="282"/>
      <c r="E174" s="282"/>
      <c r="F174" s="282"/>
      <c r="G174" s="282"/>
      <c r="H174" s="282"/>
      <c r="I174" s="282"/>
      <c r="J174" s="282"/>
      <c r="K174" s="282"/>
      <c r="L174" s="282"/>
      <c r="M174" s="782"/>
    </row>
    <row r="175" spans="1:13" ht="12.75" customHeight="1" x14ac:dyDescent="0.35">
      <c r="A175" s="660"/>
      <c r="B175" s="282"/>
      <c r="C175" s="282"/>
      <c r="D175" s="282"/>
      <c r="E175" s="282"/>
      <c r="F175" s="282"/>
      <c r="G175" s="282"/>
      <c r="H175" s="282"/>
      <c r="I175" s="282"/>
      <c r="J175" s="282"/>
      <c r="K175" s="282"/>
      <c r="L175" s="282"/>
      <c r="M175" s="782"/>
    </row>
    <row r="176" spans="1:13" ht="5.15" customHeight="1" x14ac:dyDescent="0.35">
      <c r="A176" s="660" t="s">
        <v>1939</v>
      </c>
      <c r="B176" s="282"/>
      <c r="C176" s="282"/>
      <c r="D176" s="282"/>
      <c r="E176" s="282"/>
      <c r="F176" s="282"/>
      <c r="G176" s="282"/>
      <c r="H176" s="282"/>
      <c r="I176" s="282"/>
      <c r="J176" s="282"/>
      <c r="K176" s="282"/>
      <c r="L176" s="282"/>
      <c r="M176" s="782"/>
    </row>
    <row r="177" spans="1:13" ht="15" customHeight="1" x14ac:dyDescent="0.35">
      <c r="A177" s="660" t="s">
        <v>1939</v>
      </c>
      <c r="B177" s="795"/>
      <c r="C177" s="796" t="s">
        <v>1940</v>
      </c>
      <c r="D177" s="797"/>
      <c r="E177" s="797"/>
      <c r="F177" s="797"/>
      <c r="G177" s="797"/>
      <c r="H177" s="797"/>
      <c r="I177" s="797"/>
      <c r="J177" s="797"/>
      <c r="K177" s="798"/>
      <c r="L177" s="795"/>
      <c r="M177" s="782"/>
    </row>
    <row r="178" spans="1:13" ht="5.15" customHeight="1" x14ac:dyDescent="0.35">
      <c r="A178" s="660"/>
      <c r="B178" s="795"/>
      <c r="C178" s="867"/>
      <c r="D178" s="868"/>
      <c r="E178" s="868"/>
      <c r="F178" s="788">
        <f ca="1">1+(OFFSET(F178,1,0)/100)</f>
        <v>0.8</v>
      </c>
      <c r="G178" s="788">
        <f ca="1">(1+(OFFSET(G178,1,0)/100))/F178</f>
        <v>1.125</v>
      </c>
      <c r="H178" s="869"/>
      <c r="I178" s="788">
        <f ca="1">(1+(OFFSET(I178,1,0)/100))/(1+(OFFSET(G178,1,0)/100))</f>
        <v>1.2222222222222223</v>
      </c>
      <c r="J178" s="788">
        <f ca="1">(1+(OFFSET(J178,1,0)/100))/(1+(OFFSET(I178,1,0)/100))</f>
        <v>1.0909090909090908</v>
      </c>
      <c r="K178" s="870"/>
      <c r="L178" s="795"/>
      <c r="M178" s="782"/>
    </row>
    <row r="179" spans="1:13" ht="15" customHeight="1" x14ac:dyDescent="0.35">
      <c r="A179" s="660">
        <v>0</v>
      </c>
      <c r="B179" s="795"/>
      <c r="C179" s="802"/>
      <c r="D179" s="871" t="s">
        <v>1941</v>
      </c>
      <c r="E179" s="872"/>
      <c r="F179" s="873">
        <v>-20</v>
      </c>
      <c r="G179" s="874">
        <v>-10</v>
      </c>
      <c r="H179" s="875">
        <v>0</v>
      </c>
      <c r="I179" s="874">
        <v>10</v>
      </c>
      <c r="J179" s="876">
        <v>20</v>
      </c>
      <c r="K179" s="809"/>
      <c r="L179" s="795"/>
      <c r="M179" s="782"/>
    </row>
    <row r="180" spans="1:13" ht="16" customHeight="1" x14ac:dyDescent="0.35">
      <c r="A180" s="660">
        <v>12348686.255399536</v>
      </c>
      <c r="B180" s="795"/>
      <c r="C180" s="802"/>
      <c r="D180" s="816" t="str">
        <f>$D$48</f>
        <v xml:space="preserve"> Net Present Value (NPV)</v>
      </c>
      <c r="E180" s="854"/>
      <c r="F180" s="1226">
        <v>14043146.250399185</v>
      </c>
      <c r="G180" s="1227">
        <v>13195916.25289936</v>
      </c>
      <c r="H180" s="1228">
        <v>12348686.255399536</v>
      </c>
      <c r="I180" s="1229">
        <v>11501456.257899713</v>
      </c>
      <c r="J180" s="1230">
        <v>10654226.260399889</v>
      </c>
      <c r="K180" s="809"/>
      <c r="L180" s="795"/>
      <c r="M180" s="782"/>
    </row>
    <row r="181" spans="1:13" ht="15.5" hidden="1" x14ac:dyDescent="0.35">
      <c r="A181" s="660">
        <v>12348686.255399536</v>
      </c>
      <c r="B181" s="795"/>
      <c r="C181" s="802"/>
      <c r="D181" s="818"/>
      <c r="E181" s="855"/>
      <c r="F181" s="820">
        <v>14043146.250399185</v>
      </c>
      <c r="G181" s="647">
        <v>13195916.25289936</v>
      </c>
      <c r="H181" s="647">
        <v>12348686.255399536</v>
      </c>
      <c r="I181" s="647">
        <v>11501456.257899713</v>
      </c>
      <c r="J181" s="821">
        <v>10654226.260399889</v>
      </c>
      <c r="K181" s="809"/>
      <c r="L181" s="795"/>
      <c r="M181" s="782"/>
    </row>
    <row r="182" spans="1:13" ht="15.5" hidden="1" x14ac:dyDescent="0.35">
      <c r="A182" s="660">
        <v>0.50339226561054384</v>
      </c>
      <c r="B182" s="795"/>
      <c r="C182" s="802"/>
      <c r="D182" s="818"/>
      <c r="E182" s="855"/>
      <c r="F182" s="856">
        <v>0.58136469259822121</v>
      </c>
      <c r="G182" s="650">
        <v>0.54189860569585102</v>
      </c>
      <c r="H182" s="650">
        <v>0.50339226561054384</v>
      </c>
      <c r="I182" s="650">
        <v>0.46580416044891848</v>
      </c>
      <c r="J182" s="857">
        <v>0.42909416007986745</v>
      </c>
      <c r="K182" s="809"/>
      <c r="L182" s="795"/>
      <c r="M182" s="782"/>
    </row>
    <row r="183" spans="1:13" ht="15.5" hidden="1" x14ac:dyDescent="0.35">
      <c r="A183" s="660">
        <v>0.66661631057319637</v>
      </c>
      <c r="B183" s="795"/>
      <c r="C183" s="802"/>
      <c r="D183" s="818"/>
      <c r="E183" s="855"/>
      <c r="F183" s="856">
        <v>0.77667242037993867</v>
      </c>
      <c r="G183" s="650">
        <v>0.72067111317481602</v>
      </c>
      <c r="H183" s="650">
        <v>0.66661631057319637</v>
      </c>
      <c r="I183" s="650">
        <v>0.61440879998539955</v>
      </c>
      <c r="J183" s="857">
        <v>0.56395346340656149</v>
      </c>
      <c r="K183" s="809"/>
      <c r="L183" s="795"/>
      <c r="M183" s="782"/>
    </row>
    <row r="184" spans="1:13" ht="15.5" hidden="1" x14ac:dyDescent="0.35">
      <c r="A184" s="660">
        <v>0.34153595866392839</v>
      </c>
      <c r="B184" s="795"/>
      <c r="C184" s="802"/>
      <c r="D184" s="818"/>
      <c r="E184" s="855"/>
      <c r="F184" s="856">
        <v>0.37265854571013834</v>
      </c>
      <c r="G184" s="650">
        <v>0.35725298905686587</v>
      </c>
      <c r="H184" s="650">
        <v>0.34153595866392839</v>
      </c>
      <c r="I184" s="650">
        <v>0.3254676763846216</v>
      </c>
      <c r="J184" s="857">
        <v>0.30900303752853664</v>
      </c>
      <c r="K184" s="809"/>
      <c r="L184" s="795"/>
      <c r="M184" s="782"/>
    </row>
    <row r="185" spans="1:13" ht="15.5" hidden="1" x14ac:dyDescent="0.35">
      <c r="A185" s="660">
        <v>5.3893498684684742</v>
      </c>
      <c r="B185" s="795"/>
      <c r="C185" s="802"/>
      <c r="D185" s="818"/>
      <c r="E185" s="855"/>
      <c r="F185" s="822">
        <v>5.9916469551666385</v>
      </c>
      <c r="G185" s="649">
        <v>5.6904984118175559</v>
      </c>
      <c r="H185" s="649">
        <v>5.3893498684684742</v>
      </c>
      <c r="I185" s="649">
        <v>5.0882013251193925</v>
      </c>
      <c r="J185" s="823">
        <v>4.7870527817703108</v>
      </c>
      <c r="K185" s="809"/>
      <c r="L185" s="795"/>
      <c r="M185" s="782"/>
    </row>
    <row r="186" spans="1:13" ht="15.5" hidden="1" x14ac:dyDescent="0.35">
      <c r="A186" s="660">
        <v>12240577.31097028</v>
      </c>
      <c r="B186" s="795"/>
      <c r="C186" s="802"/>
      <c r="D186" s="818"/>
      <c r="E186" s="855"/>
      <c r="F186" s="820">
        <v>13934498.196023222</v>
      </c>
      <c r="G186" s="647">
        <v>13087537.753496753</v>
      </c>
      <c r="H186" s="647">
        <v>12240577.31097028</v>
      </c>
      <c r="I186" s="647">
        <v>11393616.868443811</v>
      </c>
      <c r="J186" s="821">
        <v>10546656.425917342</v>
      </c>
      <c r="K186" s="809"/>
      <c r="L186" s="795"/>
      <c r="M186" s="782"/>
    </row>
    <row r="187" spans="1:13" ht="15.5" hidden="1" x14ac:dyDescent="0.35">
      <c r="A187" s="660">
        <v>2.7706957805444561</v>
      </c>
      <c r="B187" s="795"/>
      <c r="C187" s="802"/>
      <c r="D187" s="818"/>
      <c r="E187" s="855"/>
      <c r="F187" s="824">
        <v>2.431717250349033</v>
      </c>
      <c r="G187" s="651">
        <v>2.5906236034378307</v>
      </c>
      <c r="H187" s="651">
        <v>2.7706957805444561</v>
      </c>
      <c r="I187" s="651">
        <v>2.976464341064228</v>
      </c>
      <c r="J187" s="825">
        <v>3.2138522163182928</v>
      </c>
      <c r="K187" s="809"/>
      <c r="L187" s="795"/>
      <c r="M187" s="782"/>
    </row>
    <row r="188" spans="1:13" ht="15.5" hidden="1" x14ac:dyDescent="0.35">
      <c r="A188" s="660">
        <v>2.6795050765088981</v>
      </c>
      <c r="B188" s="795"/>
      <c r="C188" s="802"/>
      <c r="D188" s="818"/>
      <c r="E188" s="855"/>
      <c r="F188" s="824">
        <v>2.3645539618195874</v>
      </c>
      <c r="G188" s="651">
        <v>2.5121967432301897</v>
      </c>
      <c r="H188" s="651">
        <v>2.6795050765088981</v>
      </c>
      <c r="I188" s="651">
        <v>2.8706883867508637</v>
      </c>
      <c r="J188" s="825">
        <v>3.0912497771194278</v>
      </c>
      <c r="K188" s="809"/>
      <c r="L188" s="795"/>
      <c r="M188" s="782"/>
    </row>
    <row r="189" spans="1:13" ht="15.5" hidden="1" x14ac:dyDescent="0.35">
      <c r="A189" s="660">
        <v>14329994.434887145</v>
      </c>
      <c r="B189" s="795"/>
      <c r="C189" s="802"/>
      <c r="D189" s="818"/>
      <c r="E189" s="855"/>
      <c r="F189" s="820">
        <v>16173194.434887145</v>
      </c>
      <c r="G189" s="647">
        <v>15251594.434887145</v>
      </c>
      <c r="H189" s="647">
        <v>14329994.434887145</v>
      </c>
      <c r="I189" s="647">
        <v>13408394.434887145</v>
      </c>
      <c r="J189" s="821">
        <v>12486794.434887145</v>
      </c>
      <c r="K189" s="809"/>
      <c r="L189" s="795"/>
      <c r="M189" s="782"/>
    </row>
    <row r="190" spans="1:13" ht="15.5" hidden="1" x14ac:dyDescent="0.35">
      <c r="A190" s="660">
        <v>0.50339226561054384</v>
      </c>
      <c r="B190" s="795"/>
      <c r="C190" s="802"/>
      <c r="D190" s="818"/>
      <c r="E190" s="855"/>
      <c r="F190" s="856">
        <v>0.58136469259822121</v>
      </c>
      <c r="G190" s="650">
        <v>0.54189860569585102</v>
      </c>
      <c r="H190" s="650">
        <v>0.50339226561054384</v>
      </c>
      <c r="I190" s="650">
        <v>0.46580416044891848</v>
      </c>
      <c r="J190" s="857">
        <v>0.42909416007987411</v>
      </c>
      <c r="K190" s="809"/>
      <c r="L190" s="795"/>
      <c r="M190" s="782"/>
    </row>
    <row r="191" spans="1:13" ht="15.5" hidden="1" x14ac:dyDescent="0.35">
      <c r="A191" s="660">
        <v>0.66661631057319637</v>
      </c>
      <c r="B191" s="795"/>
      <c r="C191" s="802"/>
      <c r="D191" s="818"/>
      <c r="E191" s="855"/>
      <c r="F191" s="856">
        <v>0.77667242037993867</v>
      </c>
      <c r="G191" s="650">
        <v>0.72067111317482002</v>
      </c>
      <c r="H191" s="650">
        <v>0.66661631057319637</v>
      </c>
      <c r="I191" s="650">
        <v>0.61440879998539955</v>
      </c>
      <c r="J191" s="857">
        <v>0.56395346340656149</v>
      </c>
      <c r="K191" s="809"/>
      <c r="L191" s="795"/>
      <c r="M191" s="782"/>
    </row>
    <row r="192" spans="1:13" ht="15.5" hidden="1" x14ac:dyDescent="0.35">
      <c r="A192" s="660">
        <v>0.33334987667595417</v>
      </c>
      <c r="B192" s="795"/>
      <c r="C192" s="802"/>
      <c r="D192" s="818"/>
      <c r="E192" s="855"/>
      <c r="F192" s="856">
        <v>0.36370680922840681</v>
      </c>
      <c r="G192" s="650">
        <v>0.34867315412851196</v>
      </c>
      <c r="H192" s="650">
        <v>0.33334987667595417</v>
      </c>
      <c r="I192" s="650">
        <v>0.31770019906361369</v>
      </c>
      <c r="J192" s="857">
        <v>0.30168259353863447</v>
      </c>
      <c r="K192" s="809"/>
      <c r="L192" s="795"/>
      <c r="M192" s="782"/>
    </row>
    <row r="193" spans="1:13" ht="15.5" hidden="1" x14ac:dyDescent="0.35">
      <c r="A193" s="660">
        <v>2.6795050765088981</v>
      </c>
      <c r="B193" s="795"/>
      <c r="C193" s="802"/>
      <c r="D193" s="818"/>
      <c r="E193" s="855"/>
      <c r="F193" s="824">
        <v>2.3645539618195874</v>
      </c>
      <c r="G193" s="651">
        <v>2.5121967432301897</v>
      </c>
      <c r="H193" s="651">
        <v>2.6795050765088981</v>
      </c>
      <c r="I193" s="651">
        <v>2.8706883867508637</v>
      </c>
      <c r="J193" s="825">
        <v>3.0912497771194278</v>
      </c>
      <c r="K193" s="809"/>
      <c r="L193" s="795"/>
      <c r="M193" s="782"/>
    </row>
    <row r="194" spans="1:13" ht="15.5" hidden="1" x14ac:dyDescent="0.35">
      <c r="A194" s="660">
        <v>2.6795050765088981</v>
      </c>
      <c r="B194" s="795"/>
      <c r="C194" s="802"/>
      <c r="D194" s="818"/>
      <c r="E194" s="855"/>
      <c r="F194" s="824">
        <v>2.3645539618195874</v>
      </c>
      <c r="G194" s="651">
        <v>2.5121967432301897</v>
      </c>
      <c r="H194" s="651">
        <v>2.6795050765088981</v>
      </c>
      <c r="I194" s="651">
        <v>2.8706883867508637</v>
      </c>
      <c r="J194" s="825">
        <v>3.0912497771194278</v>
      </c>
      <c r="K194" s="809"/>
      <c r="L194" s="795"/>
      <c r="M194" s="782"/>
    </row>
    <row r="195" spans="1:13" ht="14.15" customHeight="1" x14ac:dyDescent="0.35">
      <c r="A195" s="660">
        <v>0</v>
      </c>
      <c r="B195" s="795"/>
      <c r="C195" s="802"/>
      <c r="D195" s="826" t="str">
        <f>$D$6</f>
        <v xml:space="preserve"> Change, %</v>
      </c>
      <c r="E195" s="827"/>
      <c r="F195" s="812">
        <f>IF(AND(ISNUMBER(F180),ISNUMBER($H180)),(F180-$H180)/IF($H180=0,0.00001,ABS($H180))*100,"")</f>
        <v>13.721783515705862</v>
      </c>
      <c r="G195" s="813">
        <f>IF(AND(ISNUMBER(G180),ISNUMBER($H180)),(G180-$H180)/IF($H180=0,0.00001,ABS($H180))*100,"")</f>
        <v>6.8608917578529232</v>
      </c>
      <c r="H195" s="813">
        <v>0</v>
      </c>
      <c r="I195" s="813">
        <f>IF(AND(ISNUMBER(I180),ISNUMBER($H180)),(I180-$H180)/IF($H180=0,0.00001,ABS($H180))*100,"")</f>
        <v>-6.8608917578529232</v>
      </c>
      <c r="J195" s="815">
        <f>IF(AND(ISNUMBER(J180),ISNUMBER($H180)),(J180-$H180)/IF($H180=0,0.00001,ABS($H180))*100,"")</f>
        <v>-13.721783515705846</v>
      </c>
      <c r="K195" s="809"/>
      <c r="L195" s="795"/>
      <c r="M195" s="782"/>
    </row>
    <row r="196" spans="1:13" ht="12.75" customHeight="1" x14ac:dyDescent="0.35">
      <c r="A196" s="660"/>
      <c r="B196" s="795"/>
      <c r="C196" s="802"/>
      <c r="D196" s="877"/>
      <c r="E196" s="878"/>
      <c r="F196" s="878"/>
      <c r="G196" s="878"/>
      <c r="H196" s="878"/>
      <c r="I196" s="878"/>
      <c r="J196" s="879"/>
      <c r="K196" s="809"/>
      <c r="L196" s="795"/>
      <c r="M196" s="782"/>
    </row>
    <row r="197" spans="1:13" ht="12.75" customHeight="1" x14ac:dyDescent="0.35">
      <c r="A197" s="660"/>
      <c r="B197" s="795"/>
      <c r="C197" s="802"/>
      <c r="D197" s="880"/>
      <c r="E197" s="830"/>
      <c r="F197" s="830"/>
      <c r="G197" s="830"/>
      <c r="H197" s="830"/>
      <c r="I197" s="830"/>
      <c r="J197" s="881"/>
      <c r="K197" s="809"/>
      <c r="L197" s="795"/>
      <c r="M197" s="782"/>
    </row>
    <row r="198" spans="1:13" ht="12.75" customHeight="1" x14ac:dyDescent="0.35">
      <c r="A198" s="660"/>
      <c r="B198" s="795"/>
      <c r="C198" s="802"/>
      <c r="D198" s="880"/>
      <c r="E198" s="830"/>
      <c r="F198" s="830"/>
      <c r="G198" s="830"/>
      <c r="H198" s="830"/>
      <c r="I198" s="830"/>
      <c r="J198" s="881"/>
      <c r="K198" s="809"/>
      <c r="L198" s="795"/>
      <c r="M198" s="782"/>
    </row>
    <row r="199" spans="1:13" ht="12.75" customHeight="1" x14ac:dyDescent="0.35">
      <c r="A199" s="660"/>
      <c r="B199" s="795"/>
      <c r="C199" s="802"/>
      <c r="D199" s="880"/>
      <c r="E199" s="830"/>
      <c r="F199" s="830"/>
      <c r="G199" s="830"/>
      <c r="H199" s="830"/>
      <c r="I199" s="830"/>
      <c r="J199" s="881"/>
      <c r="K199" s="809"/>
      <c r="L199" s="795"/>
      <c r="M199" s="782"/>
    </row>
    <row r="200" spans="1:13" ht="12.75" customHeight="1" x14ac:dyDescent="0.35">
      <c r="A200" s="660"/>
      <c r="B200" s="795"/>
      <c r="C200" s="802"/>
      <c r="D200" s="880"/>
      <c r="E200" s="830"/>
      <c r="F200" s="830"/>
      <c r="G200" s="830"/>
      <c r="H200" s="830"/>
      <c r="I200" s="830"/>
      <c r="J200" s="881"/>
      <c r="K200" s="809"/>
      <c r="L200" s="795"/>
      <c r="M200" s="782"/>
    </row>
    <row r="201" spans="1:13" ht="12.75" customHeight="1" x14ac:dyDescent="0.35">
      <c r="A201" s="660"/>
      <c r="B201" s="795"/>
      <c r="C201" s="802"/>
      <c r="D201" s="880"/>
      <c r="E201" s="830"/>
      <c r="F201" s="830"/>
      <c r="G201" s="830"/>
      <c r="H201" s="830"/>
      <c r="I201" s="830"/>
      <c r="J201" s="881"/>
      <c r="K201" s="809"/>
      <c r="L201" s="795"/>
      <c r="M201" s="782"/>
    </row>
    <row r="202" spans="1:13" ht="12.75" customHeight="1" x14ac:dyDescent="0.35">
      <c r="A202" s="660"/>
      <c r="B202" s="795"/>
      <c r="C202" s="802"/>
      <c r="D202" s="880"/>
      <c r="E202" s="830"/>
      <c r="F202" s="830"/>
      <c r="G202" s="830"/>
      <c r="H202" s="830"/>
      <c r="I202" s="830"/>
      <c r="J202" s="881"/>
      <c r="K202" s="809"/>
      <c r="L202" s="795"/>
      <c r="M202" s="782"/>
    </row>
    <row r="203" spans="1:13" ht="12.75" customHeight="1" x14ac:dyDescent="0.35">
      <c r="A203" s="660"/>
      <c r="B203" s="795"/>
      <c r="C203" s="802"/>
      <c r="D203" s="880"/>
      <c r="E203" s="830"/>
      <c r="F203" s="830"/>
      <c r="G203" s="830"/>
      <c r="H203" s="830"/>
      <c r="I203" s="830"/>
      <c r="J203" s="881"/>
      <c r="K203" s="809"/>
      <c r="L203" s="795"/>
      <c r="M203" s="782"/>
    </row>
    <row r="204" spans="1:13" ht="12.75" customHeight="1" x14ac:dyDescent="0.35">
      <c r="A204" s="660"/>
      <c r="B204" s="795"/>
      <c r="C204" s="802"/>
      <c r="D204" s="880"/>
      <c r="E204" s="830"/>
      <c r="F204" s="830"/>
      <c r="G204" s="830"/>
      <c r="H204" s="830"/>
      <c r="I204" s="830"/>
      <c r="J204" s="881"/>
      <c r="K204" s="809"/>
      <c r="L204" s="795"/>
      <c r="M204" s="782"/>
    </row>
    <row r="205" spans="1:13" ht="12.75" customHeight="1" x14ac:dyDescent="0.35">
      <c r="A205" s="660"/>
      <c r="B205" s="795"/>
      <c r="C205" s="802"/>
      <c r="D205" s="880"/>
      <c r="E205" s="830"/>
      <c r="F205" s="830"/>
      <c r="G205" s="830"/>
      <c r="H205" s="830"/>
      <c r="I205" s="830"/>
      <c r="J205" s="881"/>
      <c r="K205" s="809"/>
      <c r="L205" s="795"/>
      <c r="M205" s="782"/>
    </row>
    <row r="206" spans="1:13" ht="12.75" customHeight="1" x14ac:dyDescent="0.35">
      <c r="A206" s="660"/>
      <c r="B206" s="795"/>
      <c r="C206" s="802"/>
      <c r="D206" s="880"/>
      <c r="E206" s="830"/>
      <c r="F206" s="830"/>
      <c r="G206" s="830"/>
      <c r="H206" s="830"/>
      <c r="I206" s="830"/>
      <c r="J206" s="881"/>
      <c r="K206" s="809"/>
      <c r="L206" s="795"/>
      <c r="M206" s="782"/>
    </row>
    <row r="207" spans="1:13" ht="12.75" customHeight="1" x14ac:dyDescent="0.35">
      <c r="A207" s="660"/>
      <c r="B207" s="795"/>
      <c r="C207" s="802"/>
      <c r="D207" s="880"/>
      <c r="E207" s="830"/>
      <c r="F207" s="830"/>
      <c r="G207" s="830"/>
      <c r="H207" s="830"/>
      <c r="I207" s="830"/>
      <c r="J207" s="881"/>
      <c r="K207" s="809"/>
      <c r="L207" s="795"/>
      <c r="M207" s="782"/>
    </row>
    <row r="208" spans="1:13" ht="12.75" customHeight="1" x14ac:dyDescent="0.35">
      <c r="A208" s="660"/>
      <c r="B208" s="795"/>
      <c r="C208" s="802"/>
      <c r="D208" s="880"/>
      <c r="E208" s="830"/>
      <c r="F208" s="830"/>
      <c r="G208" s="830"/>
      <c r="H208" s="830"/>
      <c r="I208" s="830"/>
      <c r="J208" s="881"/>
      <c r="K208" s="809"/>
      <c r="L208" s="795"/>
      <c r="M208" s="782"/>
    </row>
    <row r="209" spans="1:13" ht="12.75" customHeight="1" x14ac:dyDescent="0.35">
      <c r="A209" s="660"/>
      <c r="B209" s="795"/>
      <c r="C209" s="802"/>
      <c r="D209" s="882"/>
      <c r="E209" s="883"/>
      <c r="F209" s="883"/>
      <c r="G209" s="883"/>
      <c r="H209" s="883"/>
      <c r="I209" s="883"/>
      <c r="J209" s="884"/>
      <c r="K209" s="809"/>
      <c r="L209" s="795"/>
      <c r="M209" s="782"/>
    </row>
    <row r="210" spans="1:13" ht="16" customHeight="1" x14ac:dyDescent="0.35">
      <c r="A210" s="660">
        <v>0</v>
      </c>
      <c r="B210" s="795"/>
      <c r="C210" s="802"/>
      <c r="D210" s="831" t="str">
        <f>$D$78</f>
        <v xml:space="preserve"> Key financials</v>
      </c>
      <c r="E210" s="885" t="str">
        <f>FinYearR04</f>
        <v>12/2019</v>
      </c>
      <c r="F210" s="889">
        <f>F179</f>
        <v>-20</v>
      </c>
      <c r="G210" s="890">
        <f>G179</f>
        <v>-10</v>
      </c>
      <c r="H210" s="890">
        <f>H179</f>
        <v>0</v>
      </c>
      <c r="I210" s="890">
        <f>I179</f>
        <v>10</v>
      </c>
      <c r="J210" s="891">
        <f>J179</f>
        <v>20</v>
      </c>
      <c r="K210" s="809"/>
      <c r="L210" s="795"/>
      <c r="M210" s="782"/>
    </row>
    <row r="211" spans="1:13" ht="16" customHeight="1" x14ac:dyDescent="0.35">
      <c r="A211" s="660">
        <v>0</v>
      </c>
      <c r="B211" s="795"/>
      <c r="C211" s="802"/>
      <c r="D211" s="831" t="str">
        <f>" "&amp;INDEX(RatiosDD,Analysis04Ratio01)</f>
        <v xml:space="preserve"> EBITDA; Operating income before depreciation, Euro</v>
      </c>
      <c r="E211" s="836"/>
      <c r="F211" s="840">
        <v>523342.76835039631</v>
      </c>
      <c r="G211" s="841">
        <v>443342.76835039631</v>
      </c>
      <c r="H211" s="841">
        <v>363342.76835039631</v>
      </c>
      <c r="I211" s="841">
        <v>283342.76835039619</v>
      </c>
      <c r="J211" s="842">
        <v>203342.76835039631</v>
      </c>
      <c r="K211" s="809"/>
      <c r="L211" s="795"/>
      <c r="M211" s="782"/>
    </row>
    <row r="212" spans="1:13" ht="16" customHeight="1" x14ac:dyDescent="0.35">
      <c r="A212" s="660"/>
      <c r="B212" s="795"/>
      <c r="C212" s="802"/>
      <c r="D212" s="831" t="str">
        <f>" "&amp;INDEX(RatiosDD,Analysis04Ratio02)</f>
        <v xml:space="preserve"> EBITDA, %</v>
      </c>
      <c r="E212" s="836"/>
      <c r="F212" s="864">
        <v>0.13495835859945793</v>
      </c>
      <c r="G212" s="865">
        <v>0.11432815342439016</v>
      </c>
      <c r="H212" s="865">
        <v>9.3697948249322413E-2</v>
      </c>
      <c r="I212" s="865">
        <v>7.3067743074254621E-2</v>
      </c>
      <c r="J212" s="866">
        <v>5.2437537899186884E-2</v>
      </c>
      <c r="K212" s="809"/>
      <c r="L212" s="795"/>
      <c r="M212" s="782"/>
    </row>
    <row r="213" spans="1:13" ht="16" customHeight="1" x14ac:dyDescent="0.35">
      <c r="A213" s="660" t="s">
        <v>39</v>
      </c>
      <c r="B213" s="795"/>
      <c r="C213" s="802"/>
      <c r="D213" s="831" t="str">
        <f>" "&amp;INDEX(RatiosDD,Analysis04Ratio03)</f>
        <v xml:space="preserve"> EBIT; Operating income, Euro</v>
      </c>
      <c r="E213" s="836"/>
      <c r="F213" s="840">
        <v>445676.10168372968</v>
      </c>
      <c r="G213" s="841">
        <v>365676.10168372968</v>
      </c>
      <c r="H213" s="841">
        <v>285676.10168372968</v>
      </c>
      <c r="I213" s="841">
        <v>205676.10168372959</v>
      </c>
      <c r="J213" s="842">
        <v>125676.10168372971</v>
      </c>
      <c r="K213" s="809"/>
      <c r="L213" s="795"/>
      <c r="M213" s="782"/>
    </row>
    <row r="214" spans="1:13" ht="16" customHeight="1" x14ac:dyDescent="0.35">
      <c r="A214" s="660"/>
      <c r="B214" s="795"/>
      <c r="C214" s="802"/>
      <c r="D214" s="831" t="str">
        <f>" "&amp;INDEX(RatiosDD,Analysis04Ratio04)</f>
        <v xml:space="preserve"> EBIT, %</v>
      </c>
      <c r="E214" s="836"/>
      <c r="F214" s="864">
        <v>0.11492986774199633</v>
      </c>
      <c r="G214" s="865">
        <v>9.4299662566928566E-2</v>
      </c>
      <c r="H214" s="865">
        <v>7.3669457391860801E-2</v>
      </c>
      <c r="I214" s="865">
        <v>5.3039252216793016E-2</v>
      </c>
      <c r="J214" s="866">
        <v>3.2409047041725286E-2</v>
      </c>
      <c r="K214" s="809"/>
      <c r="L214" s="795"/>
      <c r="M214" s="782"/>
    </row>
    <row r="215" spans="1:13" ht="16" customHeight="1" x14ac:dyDescent="0.35">
      <c r="A215" s="660"/>
      <c r="B215" s="795"/>
      <c r="C215" s="802"/>
      <c r="D215" s="831" t="str">
        <f>" "&amp;INDEX(RatiosDD,Analysis04Ratio05)</f>
        <v xml:space="preserve"> Return on net assets (RONA), %</v>
      </c>
      <c r="E215" s="836"/>
      <c r="F215" s="892">
        <v>0.10754150215924556</v>
      </c>
      <c r="G215" s="893">
        <v>8.8237527500884996E-2</v>
      </c>
      <c r="H215" s="893">
        <v>6.893355284252442E-2</v>
      </c>
      <c r="I215" s="893">
        <v>4.9629578184163838E-2</v>
      </c>
      <c r="J215" s="894">
        <v>3.03256035258033E-2</v>
      </c>
      <c r="K215" s="809"/>
      <c r="L215" s="795"/>
      <c r="M215" s="782"/>
    </row>
    <row r="216" spans="1:13" ht="16" customHeight="1" x14ac:dyDescent="0.35">
      <c r="A216" s="660">
        <v>0</v>
      </c>
      <c r="B216" s="795"/>
      <c r="C216" s="802"/>
      <c r="D216" s="831" t="str">
        <f>" "&amp;INDEX(RatiosDD,Analysis04Ratio06)</f>
        <v xml:space="preserve"> Economic Value Added (EVA), Euro</v>
      </c>
      <c r="E216" s="836"/>
      <c r="F216" s="840">
        <v>206920.62619563018</v>
      </c>
      <c r="G216" s="841">
        <v>149320.62619563018</v>
      </c>
      <c r="H216" s="841">
        <v>91720.626195630175</v>
      </c>
      <c r="I216" s="841">
        <v>34120.626195630088</v>
      </c>
      <c r="J216" s="842">
        <v>-23479.373804369825</v>
      </c>
      <c r="K216" s="809"/>
      <c r="L216" s="795"/>
      <c r="M216" s="782"/>
    </row>
    <row r="217" spans="1:13" ht="5.15" customHeight="1" x14ac:dyDescent="0.35">
      <c r="A217" s="660"/>
      <c r="B217" s="795"/>
      <c r="C217" s="843"/>
      <c r="D217" s="844"/>
      <c r="E217" s="844"/>
      <c r="F217" s="844"/>
      <c r="G217" s="844"/>
      <c r="H217" s="844"/>
      <c r="I217" s="844"/>
      <c r="J217" s="844"/>
      <c r="K217" s="845"/>
      <c r="L217" s="795"/>
      <c r="M217" s="782"/>
    </row>
    <row r="218" spans="1:13" ht="5.15" customHeight="1" x14ac:dyDescent="0.35">
      <c r="A218" s="660"/>
      <c r="B218" s="282"/>
      <c r="C218" s="282"/>
      <c r="D218" s="282"/>
      <c r="E218" s="282"/>
      <c r="F218" s="282"/>
      <c r="G218" s="282"/>
      <c r="H218" s="282"/>
      <c r="I218" s="282"/>
      <c r="J218" s="282"/>
      <c r="K218" s="282"/>
      <c r="L218" s="282"/>
      <c r="M218" s="782"/>
    </row>
    <row r="219" spans="1:13" ht="12.75" customHeight="1" x14ac:dyDescent="0.35">
      <c r="A219" s="660"/>
      <c r="B219" s="282"/>
      <c r="C219" s="282"/>
      <c r="D219" s="282"/>
      <c r="E219" s="282"/>
      <c r="F219" s="282"/>
      <c r="G219" s="282"/>
      <c r="H219" s="282"/>
      <c r="I219" s="282"/>
      <c r="J219" s="282"/>
      <c r="K219" s="282"/>
      <c r="L219" s="282"/>
      <c r="M219" s="782"/>
    </row>
    <row r="220" spans="1:13" ht="5.15" customHeight="1" x14ac:dyDescent="0.35">
      <c r="A220" s="660" t="s">
        <v>1942</v>
      </c>
      <c r="B220" s="282"/>
      <c r="C220" s="282"/>
      <c r="D220" s="282"/>
      <c r="E220" s="282"/>
      <c r="F220" s="282"/>
      <c r="G220" s="282"/>
      <c r="H220" s="282"/>
      <c r="I220" s="282"/>
      <c r="J220" s="282"/>
      <c r="K220" s="282"/>
      <c r="L220" s="282"/>
      <c r="M220" s="782"/>
    </row>
    <row r="221" spans="1:13" ht="15" customHeight="1" x14ac:dyDescent="0.35">
      <c r="A221" s="660" t="s">
        <v>1942</v>
      </c>
      <c r="B221" s="795"/>
      <c r="C221" s="796" t="s">
        <v>5457</v>
      </c>
      <c r="D221" s="797"/>
      <c r="E221" s="797"/>
      <c r="F221" s="797"/>
      <c r="G221" s="797"/>
      <c r="H221" s="797"/>
      <c r="I221" s="797"/>
      <c r="J221" s="797"/>
      <c r="K221" s="798"/>
      <c r="L221" s="795"/>
      <c r="M221" s="782"/>
    </row>
    <row r="222" spans="1:13" ht="5.15" customHeight="1" x14ac:dyDescent="0.35">
      <c r="A222" s="660"/>
      <c r="B222" s="795"/>
      <c r="C222" s="867"/>
      <c r="D222" s="868"/>
      <c r="E222" s="868"/>
      <c r="F222" s="788">
        <f ca="1">1+(OFFSET(F222,2,0)/100)</f>
        <v>0.8</v>
      </c>
      <c r="G222" s="788">
        <f ca="1">(1+(OFFSET(G222,2,0)/100))/F222</f>
        <v>1.125</v>
      </c>
      <c r="H222" s="869"/>
      <c r="I222" s="788">
        <f ca="1">(1+(OFFSET(I222,2,0)/100))/(1+(OFFSET(G222,2,0)/100))</f>
        <v>1.2222222222222223</v>
      </c>
      <c r="J222" s="788">
        <f ca="1">(1+(OFFSET(J222,2,0)/100))/(1+(OFFSET(I222,2,0)/100))</f>
        <v>1.0909090909090908</v>
      </c>
      <c r="K222" s="870"/>
      <c r="L222" s="795"/>
      <c r="M222" s="782"/>
    </row>
    <row r="223" spans="1:13" ht="16" customHeight="1" x14ac:dyDescent="0.35">
      <c r="A223" s="660"/>
      <c r="B223" s="795"/>
      <c r="C223" s="802"/>
      <c r="D223" s="895" t="s">
        <v>1943</v>
      </c>
      <c r="E223" s="896"/>
      <c r="F223" s="831" t="str">
        <f ca="1">" "&amp;OFFSET(VarListAnalysis!$C$1,IncVar1,0)</f>
        <v xml:space="preserve"> (446) * Price / meter</v>
      </c>
      <c r="G223" s="897"/>
      <c r="H223" s="897"/>
      <c r="I223" s="897"/>
      <c r="J223" s="836"/>
      <c r="K223" s="809"/>
      <c r="L223" s="795"/>
      <c r="M223" s="898" t="str">
        <f ca="1">VarRowsTxt</f>
        <v>Show row numbers</v>
      </c>
    </row>
    <row r="224" spans="1:13" ht="15" customHeight="1" x14ac:dyDescent="0.35">
      <c r="A224" s="660">
        <v>0</v>
      </c>
      <c r="B224" s="795"/>
      <c r="C224" s="802"/>
      <c r="D224" s="803" t="s">
        <v>1944</v>
      </c>
      <c r="E224" s="804"/>
      <c r="F224" s="899">
        <v>-20</v>
      </c>
      <c r="G224" s="900">
        <v>-10</v>
      </c>
      <c r="H224" s="901">
        <v>0</v>
      </c>
      <c r="I224" s="900">
        <v>10</v>
      </c>
      <c r="J224" s="902">
        <v>20</v>
      </c>
      <c r="K224" s="809"/>
      <c r="L224" s="795"/>
      <c r="M224" s="782"/>
    </row>
    <row r="225" spans="1:13" ht="16" customHeight="1" x14ac:dyDescent="0.35">
      <c r="A225" s="660">
        <v>350</v>
      </c>
      <c r="B225" s="795"/>
      <c r="C225" s="802"/>
      <c r="D225" s="903" t="s">
        <v>1945</v>
      </c>
      <c r="E225" s="904"/>
      <c r="F225" s="905">
        <f>$H225*(1+F224/100)</f>
        <v>280</v>
      </c>
      <c r="G225" s="906">
        <f>$H225*(1+G224/100)</f>
        <v>315</v>
      </c>
      <c r="H225" s="906">
        <v>350</v>
      </c>
      <c r="I225" s="906">
        <f>$H225*(1+I224/100)</f>
        <v>385.00000000000006</v>
      </c>
      <c r="J225" s="907">
        <f>$H225*(1+J224/100)</f>
        <v>420</v>
      </c>
      <c r="K225" s="809"/>
      <c r="L225" s="795"/>
      <c r="M225" s="782"/>
    </row>
    <row r="226" spans="1:13" ht="16" customHeight="1" x14ac:dyDescent="0.35">
      <c r="A226" s="660">
        <v>12348686.255399536</v>
      </c>
      <c r="B226" s="795"/>
      <c r="C226" s="802"/>
      <c r="D226" s="816" t="str">
        <f>$D$48</f>
        <v xml:space="preserve"> Net Present Value (NPV)</v>
      </c>
      <c r="E226" s="854"/>
      <c r="F226" s="1226">
        <v>7776772.2677708659</v>
      </c>
      <c r="G226" s="1227">
        <v>10062729.261585204</v>
      </c>
      <c r="H226" s="1228">
        <v>12348686.255399536</v>
      </c>
      <c r="I226" s="1229">
        <v>14634643.249213884</v>
      </c>
      <c r="J226" s="1230">
        <v>16920600.243028212</v>
      </c>
      <c r="K226" s="809"/>
      <c r="L226" s="795"/>
      <c r="M226" s="782"/>
    </row>
    <row r="227" spans="1:13" ht="15.5" hidden="1" x14ac:dyDescent="0.35">
      <c r="A227" s="660">
        <v>12348686.255399536</v>
      </c>
      <c r="B227" s="795"/>
      <c r="C227" s="802"/>
      <c r="D227" s="818"/>
      <c r="E227" s="855"/>
      <c r="F227" s="820">
        <v>7776772.2677708659</v>
      </c>
      <c r="G227" s="647">
        <v>10062729.261585204</v>
      </c>
      <c r="H227" s="647">
        <v>12348686.255399536</v>
      </c>
      <c r="I227" s="647">
        <v>14634643.249213884</v>
      </c>
      <c r="J227" s="821">
        <v>16920600.243028212</v>
      </c>
      <c r="K227" s="809"/>
      <c r="L227" s="795"/>
      <c r="M227" s="782"/>
    </row>
    <row r="228" spans="1:13" ht="15.5" hidden="1" x14ac:dyDescent="0.35">
      <c r="A228" s="660">
        <v>0.50339226561054384</v>
      </c>
      <c r="B228" s="795"/>
      <c r="C228" s="802"/>
      <c r="D228" s="818"/>
      <c r="E228" s="855"/>
      <c r="F228" s="856">
        <v>0.35826198310144641</v>
      </c>
      <c r="G228" s="650">
        <v>0.43380732741574457</v>
      </c>
      <c r="H228" s="650">
        <v>0.50339226561054384</v>
      </c>
      <c r="I228" s="650">
        <v>0.56806071283761717</v>
      </c>
      <c r="J228" s="857">
        <v>0.6285666385979416</v>
      </c>
      <c r="K228" s="809"/>
      <c r="L228" s="795"/>
      <c r="M228" s="782"/>
    </row>
    <row r="229" spans="1:13" ht="15.5" hidden="1" x14ac:dyDescent="0.35">
      <c r="A229" s="660">
        <v>0.66661631057319637</v>
      </c>
      <c r="B229" s="795"/>
      <c r="C229" s="802"/>
      <c r="D229" s="818"/>
      <c r="E229" s="855"/>
      <c r="F229" s="856">
        <v>0.47322634564244992</v>
      </c>
      <c r="G229" s="650">
        <v>0.57306849879120825</v>
      </c>
      <c r="H229" s="650">
        <v>0.66661631057319637</v>
      </c>
      <c r="I229" s="650">
        <v>0.75497417595041783</v>
      </c>
      <c r="J229" s="857">
        <v>0.83891592375565982</v>
      </c>
      <c r="K229" s="809"/>
      <c r="L229" s="795"/>
      <c r="M229" s="782"/>
    </row>
    <row r="230" spans="1:13" ht="15.5" hidden="1" x14ac:dyDescent="0.35">
      <c r="A230" s="660">
        <v>0.34153595866392839</v>
      </c>
      <c r="B230" s="795"/>
      <c r="C230" s="802"/>
      <c r="D230" s="818"/>
      <c r="E230" s="855"/>
      <c r="F230" s="856">
        <v>0.26670220555997659</v>
      </c>
      <c r="G230" s="650">
        <v>0.30709608217683027</v>
      </c>
      <c r="H230" s="650">
        <v>0.34153595866392839</v>
      </c>
      <c r="I230" s="650">
        <v>0.37151104651829248</v>
      </c>
      <c r="J230" s="857">
        <v>0.39800542587110832</v>
      </c>
      <c r="K230" s="809"/>
      <c r="L230" s="795"/>
      <c r="M230" s="782"/>
    </row>
    <row r="231" spans="1:13" ht="15.5" hidden="1" x14ac:dyDescent="0.35">
      <c r="A231" s="660">
        <v>5.3893498684684742</v>
      </c>
      <c r="B231" s="795"/>
      <c r="C231" s="802"/>
      <c r="D231" s="818"/>
      <c r="E231" s="855"/>
      <c r="F231" s="822">
        <v>3.7642595839475321</v>
      </c>
      <c r="G231" s="649">
        <v>4.576804726208004</v>
      </c>
      <c r="H231" s="649">
        <v>5.3893498684684742</v>
      </c>
      <c r="I231" s="649">
        <v>6.2018950107289497</v>
      </c>
      <c r="J231" s="823">
        <v>7.0144401529894198</v>
      </c>
      <c r="K231" s="809"/>
      <c r="L231" s="795"/>
      <c r="M231" s="782"/>
    </row>
    <row r="232" spans="1:13" ht="15.5" hidden="1" x14ac:dyDescent="0.35">
      <c r="A232" s="660">
        <v>12240577.31097028</v>
      </c>
      <c r="B232" s="795"/>
      <c r="C232" s="802"/>
      <c r="D232" s="818"/>
      <c r="E232" s="855"/>
      <c r="F232" s="820">
        <v>7681775.1826498965</v>
      </c>
      <c r="G232" s="647">
        <v>9961176.2468100898</v>
      </c>
      <c r="H232" s="647">
        <v>12240577.31097028</v>
      </c>
      <c r="I232" s="647">
        <v>14519978.375130482</v>
      </c>
      <c r="J232" s="821">
        <v>16799379.439290673</v>
      </c>
      <c r="K232" s="809"/>
      <c r="L232" s="795"/>
      <c r="M232" s="782"/>
    </row>
    <row r="233" spans="1:13" ht="15.5" hidden="1" x14ac:dyDescent="0.35">
      <c r="A233" s="660">
        <v>2.7706957805444561</v>
      </c>
      <c r="B233" s="795"/>
      <c r="C233" s="802"/>
      <c r="D233" s="818"/>
      <c r="E233" s="855"/>
      <c r="F233" s="824">
        <v>3.5757676785703256</v>
      </c>
      <c r="G233" s="651">
        <v>3.1304830028926247</v>
      </c>
      <c r="H233" s="651">
        <v>2.7706957805444561</v>
      </c>
      <c r="I233" s="651">
        <v>2.5123976222735833</v>
      </c>
      <c r="J233" s="825">
        <v>2.3121035033725774</v>
      </c>
      <c r="K233" s="809"/>
      <c r="L233" s="795"/>
      <c r="M233" s="782"/>
    </row>
    <row r="234" spans="1:13" ht="15.5" hidden="1" x14ac:dyDescent="0.35">
      <c r="A234" s="660">
        <v>2.6795050765088981</v>
      </c>
      <c r="B234" s="795"/>
      <c r="C234" s="802"/>
      <c r="D234" s="818"/>
      <c r="E234" s="855"/>
      <c r="F234" s="824">
        <v>3.4570687935420534</v>
      </c>
      <c r="G234" s="651">
        <v>3.0123285883573199</v>
      </c>
      <c r="H234" s="651">
        <v>2.6795050765088981</v>
      </c>
      <c r="I234" s="651">
        <v>2.4405646839662754</v>
      </c>
      <c r="J234" s="825">
        <v>2.230301023032212</v>
      </c>
      <c r="K234" s="809"/>
      <c r="L234" s="795"/>
      <c r="M234" s="782"/>
    </row>
    <row r="235" spans="1:13" ht="15.5" hidden="1" x14ac:dyDescent="0.35">
      <c r="A235" s="660">
        <v>14329994.434887145</v>
      </c>
      <c r="B235" s="795"/>
      <c r="C235" s="802"/>
      <c r="D235" s="818"/>
      <c r="E235" s="855"/>
      <c r="F235" s="820">
        <v>9228026.3851493001</v>
      </c>
      <c r="G235" s="647">
        <v>11779010.410018224</v>
      </c>
      <c r="H235" s="647">
        <v>14329994.434887145</v>
      </c>
      <c r="I235" s="647">
        <v>16880978.459756073</v>
      </c>
      <c r="J235" s="821">
        <v>19431962.484624997</v>
      </c>
      <c r="K235" s="809"/>
      <c r="L235" s="795"/>
      <c r="M235" s="782"/>
    </row>
    <row r="236" spans="1:13" ht="15.5" hidden="1" x14ac:dyDescent="0.35">
      <c r="A236" s="660">
        <v>0.50339226561054384</v>
      </c>
      <c r="B236" s="795"/>
      <c r="C236" s="802"/>
      <c r="D236" s="818"/>
      <c r="E236" s="855"/>
      <c r="F236" s="856">
        <v>0.35826198310144641</v>
      </c>
      <c r="G236" s="650">
        <v>0.43380732741575212</v>
      </c>
      <c r="H236" s="650">
        <v>0.50339226561054384</v>
      </c>
      <c r="I236" s="650">
        <v>0.56806071283761717</v>
      </c>
      <c r="J236" s="857">
        <v>0.6285666385979416</v>
      </c>
      <c r="K236" s="809"/>
      <c r="L236" s="795"/>
      <c r="M236" s="782"/>
    </row>
    <row r="237" spans="1:13" ht="15.5" hidden="1" x14ac:dyDescent="0.35">
      <c r="A237" s="660">
        <v>0.66661631057319637</v>
      </c>
      <c r="B237" s="795"/>
      <c r="C237" s="802"/>
      <c r="D237" s="818"/>
      <c r="E237" s="855"/>
      <c r="F237" s="856">
        <v>0.47322634564244992</v>
      </c>
      <c r="G237" s="650">
        <v>0.5730684987912118</v>
      </c>
      <c r="H237" s="650">
        <v>0.66661631057319637</v>
      </c>
      <c r="I237" s="650">
        <v>0.75497417595041383</v>
      </c>
      <c r="J237" s="857">
        <v>0.83891592375565582</v>
      </c>
      <c r="K237" s="809"/>
      <c r="L237" s="795"/>
      <c r="M237" s="782"/>
    </row>
    <row r="238" spans="1:13" ht="15.5" hidden="1" x14ac:dyDescent="0.35">
      <c r="A238" s="660">
        <v>0.33334987667595417</v>
      </c>
      <c r="B238" s="795"/>
      <c r="C238" s="802"/>
      <c r="D238" s="818"/>
      <c r="E238" s="855"/>
      <c r="F238" s="856">
        <v>0.2598093179585137</v>
      </c>
      <c r="G238" s="650">
        <v>0.29947747797041435</v>
      </c>
      <c r="H238" s="650">
        <v>0.33334987667595417</v>
      </c>
      <c r="I238" s="650">
        <v>0.362863971741888</v>
      </c>
      <c r="J238" s="857">
        <v>0.38897332792980999</v>
      </c>
      <c r="K238" s="809"/>
      <c r="L238" s="795"/>
      <c r="M238" s="782"/>
    </row>
    <row r="239" spans="1:13" ht="15.5" hidden="1" x14ac:dyDescent="0.35">
      <c r="A239" s="660">
        <v>2.6795050765088981</v>
      </c>
      <c r="B239" s="795"/>
      <c r="C239" s="802"/>
      <c r="D239" s="818"/>
      <c r="E239" s="855"/>
      <c r="F239" s="824">
        <v>3.4570687935420534</v>
      </c>
      <c r="G239" s="651">
        <v>3.0123285883573199</v>
      </c>
      <c r="H239" s="651">
        <v>2.6795050765088981</v>
      </c>
      <c r="I239" s="651">
        <v>2.4405646839662754</v>
      </c>
      <c r="J239" s="825">
        <v>2.230301023032212</v>
      </c>
      <c r="K239" s="809"/>
      <c r="L239" s="795"/>
      <c r="M239" s="782"/>
    </row>
    <row r="240" spans="1:13" ht="15.5" hidden="1" x14ac:dyDescent="0.35">
      <c r="A240" s="660">
        <v>2.6795050765088981</v>
      </c>
      <c r="B240" s="795"/>
      <c r="C240" s="802"/>
      <c r="D240" s="818"/>
      <c r="E240" s="855"/>
      <c r="F240" s="824">
        <v>3.4570687935420534</v>
      </c>
      <c r="G240" s="651">
        <v>3.0123285883573199</v>
      </c>
      <c r="H240" s="651">
        <v>2.6795050765088981</v>
      </c>
      <c r="I240" s="651">
        <v>2.4405646839662754</v>
      </c>
      <c r="J240" s="825">
        <v>2.230301023032212</v>
      </c>
      <c r="K240" s="809"/>
      <c r="L240" s="795"/>
      <c r="M240" s="782"/>
    </row>
    <row r="241" spans="1:13" ht="14.15" customHeight="1" x14ac:dyDescent="0.35">
      <c r="A241" s="660">
        <v>0</v>
      </c>
      <c r="B241" s="795"/>
      <c r="C241" s="802"/>
      <c r="D241" s="826" t="str">
        <f>$D$6</f>
        <v xml:space="preserve"> Change, %</v>
      </c>
      <c r="E241" s="827"/>
      <c r="F241" s="812">
        <f>IF(AND(ISNUMBER(F226),ISNUMBER($H226)),(F226-$H226)/IF($H226=0,0.00001,ABS($H226))*100,"")</f>
        <v>-37.023484871757702</v>
      </c>
      <c r="G241" s="813">
        <f>IF(AND(ISNUMBER(G226),ISNUMBER($H226)),(G226-$H226)/IF($H226=0,0.00001,ABS($H226))*100,"")</f>
        <v>-18.51174243587883</v>
      </c>
      <c r="H241" s="813">
        <v>0</v>
      </c>
      <c r="I241" s="813">
        <f>IF(AND(ISNUMBER(I226),ISNUMBER($H226)),(I226-$H226)/IF($H226=0,0.00001,ABS($H226))*100,"")</f>
        <v>18.511742435878951</v>
      </c>
      <c r="J241" s="815">
        <f>IF(AND(ISNUMBER(J226),ISNUMBER($H226)),(J226-$H226)/IF($H226=0,0.00001,ABS($H226))*100,"")</f>
        <v>37.023484871757752</v>
      </c>
      <c r="K241" s="809"/>
      <c r="L241" s="795"/>
      <c r="M241" s="782"/>
    </row>
    <row r="242" spans="1:13" ht="12.75" customHeight="1" x14ac:dyDescent="0.35">
      <c r="A242" s="660"/>
      <c r="B242" s="795"/>
      <c r="C242" s="802"/>
      <c r="D242" s="877"/>
      <c r="E242" s="878"/>
      <c r="F242" s="878"/>
      <c r="G242" s="878"/>
      <c r="H242" s="878"/>
      <c r="I242" s="878"/>
      <c r="J242" s="879"/>
      <c r="K242" s="809"/>
      <c r="L242" s="795"/>
      <c r="M242" s="782"/>
    </row>
    <row r="243" spans="1:13" ht="12.75" customHeight="1" x14ac:dyDescent="0.35">
      <c r="A243" s="660"/>
      <c r="B243" s="795"/>
      <c r="C243" s="802"/>
      <c r="D243" s="880"/>
      <c r="E243" s="830"/>
      <c r="F243" s="830"/>
      <c r="G243" s="830"/>
      <c r="H243" s="830"/>
      <c r="I243" s="830"/>
      <c r="J243" s="881"/>
      <c r="K243" s="809"/>
      <c r="L243" s="795"/>
      <c r="M243" s="782"/>
    </row>
    <row r="244" spans="1:13" ht="12.75" customHeight="1" x14ac:dyDescent="0.35">
      <c r="A244" s="660"/>
      <c r="B244" s="795"/>
      <c r="C244" s="802"/>
      <c r="D244" s="880"/>
      <c r="E244" s="830"/>
      <c r="F244" s="830"/>
      <c r="G244" s="830"/>
      <c r="H244" s="830"/>
      <c r="I244" s="830"/>
      <c r="J244" s="881"/>
      <c r="K244" s="809"/>
      <c r="L244" s="795"/>
      <c r="M244" s="782"/>
    </row>
    <row r="245" spans="1:13" ht="12.75" customHeight="1" x14ac:dyDescent="0.35">
      <c r="A245" s="660"/>
      <c r="B245" s="795"/>
      <c r="C245" s="802"/>
      <c r="D245" s="880"/>
      <c r="E245" s="830"/>
      <c r="F245" s="830"/>
      <c r="G245" s="830"/>
      <c r="H245" s="830"/>
      <c r="I245" s="830"/>
      <c r="J245" s="881"/>
      <c r="K245" s="809"/>
      <c r="L245" s="795"/>
      <c r="M245" s="782"/>
    </row>
    <row r="246" spans="1:13" ht="12.75" customHeight="1" x14ac:dyDescent="0.35">
      <c r="A246" s="660"/>
      <c r="B246" s="795"/>
      <c r="C246" s="802"/>
      <c r="D246" s="880"/>
      <c r="E246" s="830"/>
      <c r="F246" s="830"/>
      <c r="G246" s="830"/>
      <c r="H246" s="830"/>
      <c r="I246" s="830"/>
      <c r="J246" s="881"/>
      <c r="K246" s="809"/>
      <c r="L246" s="795"/>
      <c r="M246" s="782"/>
    </row>
    <row r="247" spans="1:13" ht="12.75" customHeight="1" x14ac:dyDescent="0.35">
      <c r="A247" s="660"/>
      <c r="B247" s="795"/>
      <c r="C247" s="802"/>
      <c r="D247" s="880"/>
      <c r="E247" s="830"/>
      <c r="F247" s="830"/>
      <c r="G247" s="830"/>
      <c r="H247" s="830"/>
      <c r="I247" s="830"/>
      <c r="J247" s="881"/>
      <c r="K247" s="809"/>
      <c r="L247" s="795"/>
      <c r="M247" s="782"/>
    </row>
    <row r="248" spans="1:13" ht="12.75" customHeight="1" x14ac:dyDescent="0.35">
      <c r="A248" s="660"/>
      <c r="B248" s="795"/>
      <c r="C248" s="802"/>
      <c r="D248" s="880"/>
      <c r="E248" s="830"/>
      <c r="F248" s="830"/>
      <c r="G248" s="830"/>
      <c r="H248" s="830"/>
      <c r="I248" s="830"/>
      <c r="J248" s="881"/>
      <c r="K248" s="809"/>
      <c r="L248" s="795"/>
      <c r="M248" s="782"/>
    </row>
    <row r="249" spans="1:13" ht="12.75" customHeight="1" x14ac:dyDescent="0.35">
      <c r="A249" s="660"/>
      <c r="B249" s="795"/>
      <c r="C249" s="802"/>
      <c r="D249" s="880"/>
      <c r="E249" s="830"/>
      <c r="F249" s="830"/>
      <c r="G249" s="830"/>
      <c r="H249" s="830"/>
      <c r="I249" s="830"/>
      <c r="J249" s="881"/>
      <c r="K249" s="809"/>
      <c r="L249" s="795"/>
      <c r="M249" s="782"/>
    </row>
    <row r="250" spans="1:13" ht="12.75" customHeight="1" x14ac:dyDescent="0.35">
      <c r="A250" s="660"/>
      <c r="B250" s="795"/>
      <c r="C250" s="802"/>
      <c r="D250" s="880"/>
      <c r="E250" s="830"/>
      <c r="F250" s="830"/>
      <c r="G250" s="830"/>
      <c r="H250" s="830"/>
      <c r="I250" s="830"/>
      <c r="J250" s="881"/>
      <c r="K250" s="809"/>
      <c r="L250" s="795"/>
      <c r="M250" s="782"/>
    </row>
    <row r="251" spans="1:13" ht="12.75" customHeight="1" x14ac:dyDescent="0.35">
      <c r="A251" s="660"/>
      <c r="B251" s="795"/>
      <c r="C251" s="802"/>
      <c r="D251" s="880"/>
      <c r="E251" s="830"/>
      <c r="F251" s="830"/>
      <c r="G251" s="830"/>
      <c r="H251" s="830"/>
      <c r="I251" s="830"/>
      <c r="J251" s="881"/>
      <c r="K251" s="809"/>
      <c r="L251" s="795"/>
      <c r="M251" s="782"/>
    </row>
    <row r="252" spans="1:13" ht="12.75" customHeight="1" x14ac:dyDescent="0.35">
      <c r="A252" s="660"/>
      <c r="B252" s="795"/>
      <c r="C252" s="802"/>
      <c r="D252" s="880"/>
      <c r="E252" s="830"/>
      <c r="F252" s="830"/>
      <c r="G252" s="830"/>
      <c r="H252" s="830"/>
      <c r="I252" s="830"/>
      <c r="J252" s="881"/>
      <c r="K252" s="809"/>
      <c r="L252" s="795"/>
      <c r="M252" s="782"/>
    </row>
    <row r="253" spans="1:13" ht="12.75" customHeight="1" x14ac:dyDescent="0.35">
      <c r="A253" s="660"/>
      <c r="B253" s="795"/>
      <c r="C253" s="802"/>
      <c r="D253" s="880"/>
      <c r="E253" s="830"/>
      <c r="F253" s="830"/>
      <c r="G253" s="830"/>
      <c r="H253" s="830"/>
      <c r="I253" s="830"/>
      <c r="J253" s="881"/>
      <c r="K253" s="809"/>
      <c r="L253" s="795"/>
      <c r="M253" s="782"/>
    </row>
    <row r="254" spans="1:13" ht="12.75" customHeight="1" x14ac:dyDescent="0.35">
      <c r="A254" s="660"/>
      <c r="B254" s="795"/>
      <c r="C254" s="802"/>
      <c r="D254" s="880"/>
      <c r="E254" s="830"/>
      <c r="F254" s="830"/>
      <c r="G254" s="830"/>
      <c r="H254" s="830"/>
      <c r="I254" s="830"/>
      <c r="J254" s="881"/>
      <c r="K254" s="809"/>
      <c r="L254" s="795"/>
      <c r="M254" s="782"/>
    </row>
    <row r="255" spans="1:13" ht="12.75" customHeight="1" x14ac:dyDescent="0.35">
      <c r="A255" s="660"/>
      <c r="B255" s="795"/>
      <c r="C255" s="802"/>
      <c r="D255" s="882"/>
      <c r="E255" s="883"/>
      <c r="F255" s="883"/>
      <c r="G255" s="883"/>
      <c r="H255" s="883"/>
      <c r="I255" s="883"/>
      <c r="J255" s="884"/>
      <c r="K255" s="809"/>
      <c r="L255" s="795"/>
      <c r="M255" s="782"/>
    </row>
    <row r="256" spans="1:13" ht="16" customHeight="1" x14ac:dyDescent="0.35">
      <c r="A256" s="660">
        <v>0</v>
      </c>
      <c r="B256" s="795"/>
      <c r="C256" s="802"/>
      <c r="D256" s="831" t="str">
        <f>$D$78</f>
        <v xml:space="preserve"> Key financials</v>
      </c>
      <c r="E256" s="885" t="str">
        <f>FinYearR05</f>
        <v>12/2019</v>
      </c>
      <c r="F256" s="889">
        <f>F224</f>
        <v>-20</v>
      </c>
      <c r="G256" s="890">
        <f>G224</f>
        <v>-10</v>
      </c>
      <c r="H256" s="890">
        <f>H224</f>
        <v>0</v>
      </c>
      <c r="I256" s="890">
        <f>I224</f>
        <v>10</v>
      </c>
      <c r="J256" s="891">
        <f>J224</f>
        <v>20</v>
      </c>
      <c r="K256" s="809"/>
      <c r="L256" s="795"/>
      <c r="M256" s="782"/>
    </row>
    <row r="257" spans="1:13" ht="16" customHeight="1" x14ac:dyDescent="0.35">
      <c r="A257" s="660">
        <v>0</v>
      </c>
      <c r="B257" s="795"/>
      <c r="C257" s="802"/>
      <c r="D257" s="831" t="str">
        <f>" "&amp;INDEX(RatiosDD,Analysis05Ratio01)</f>
        <v xml:space="preserve"> EBITDA; Operating income before depreciation, Euro</v>
      </c>
      <c r="E257" s="836"/>
      <c r="F257" s="840">
        <v>130674.21468031721</v>
      </c>
      <c r="G257" s="841">
        <v>247008.4915153567</v>
      </c>
      <c r="H257" s="841">
        <v>363342.76835039631</v>
      </c>
      <c r="I257" s="841">
        <v>479677.04518543638</v>
      </c>
      <c r="J257" s="842">
        <v>596011.32202047575</v>
      </c>
      <c r="K257" s="809"/>
      <c r="L257" s="795"/>
      <c r="M257" s="782"/>
    </row>
    <row r="258" spans="1:13" ht="16" customHeight="1" x14ac:dyDescent="0.35">
      <c r="A258" s="660"/>
      <c r="B258" s="795"/>
      <c r="C258" s="802"/>
      <c r="D258" s="831" t="str">
        <f>" "&amp;INDEX(RatiosDD,Analysis05Ratio02)</f>
        <v xml:space="preserve"> EBITDA, %</v>
      </c>
      <c r="E258" s="836"/>
      <c r="F258" s="864">
        <v>4.212243531165305E-2</v>
      </c>
      <c r="G258" s="865">
        <v>7.0775498054802669E-2</v>
      </c>
      <c r="H258" s="865">
        <v>9.3697948249322413E-2</v>
      </c>
      <c r="I258" s="865">
        <v>0.1124526802266568</v>
      </c>
      <c r="J258" s="866">
        <v>0.12808162354110203</v>
      </c>
      <c r="K258" s="809"/>
      <c r="L258" s="795"/>
      <c r="M258" s="782"/>
    </row>
    <row r="259" spans="1:13" ht="16" customHeight="1" x14ac:dyDescent="0.35">
      <c r="A259" s="660" t="s">
        <v>39</v>
      </c>
      <c r="B259" s="795"/>
      <c r="C259" s="802"/>
      <c r="D259" s="831" t="str">
        <f>" "&amp;INDEX(RatiosDD,Analysis05Ratio03)</f>
        <v xml:space="preserve"> EBIT; Operating income, Euro</v>
      </c>
      <c r="E259" s="836"/>
      <c r="F259" s="840">
        <v>53007.548013650608</v>
      </c>
      <c r="G259" s="841">
        <v>169341.8248486901</v>
      </c>
      <c r="H259" s="841">
        <v>285676.10168372968</v>
      </c>
      <c r="I259" s="841">
        <v>402010.37851876975</v>
      </c>
      <c r="J259" s="842">
        <v>518344.65535380912</v>
      </c>
      <c r="K259" s="809"/>
      <c r="L259" s="795"/>
      <c r="M259" s="782"/>
    </row>
    <row r="260" spans="1:13" ht="16" customHeight="1" x14ac:dyDescent="0.35">
      <c r="A260" s="660"/>
      <c r="B260" s="795"/>
      <c r="C260" s="802"/>
      <c r="D260" s="831" t="str">
        <f>" "&amp;INDEX(RatiosDD,Analysis05Ratio04)</f>
        <v xml:space="preserve"> EBIT, %</v>
      </c>
      <c r="E260" s="836"/>
      <c r="F260" s="864">
        <v>1.7086821739826053E-2</v>
      </c>
      <c r="G260" s="865">
        <v>4.8521619324289784E-2</v>
      </c>
      <c r="H260" s="865">
        <v>7.3669457391860801E-2</v>
      </c>
      <c r="I260" s="865">
        <v>9.4244961265328067E-2</v>
      </c>
      <c r="J260" s="866">
        <v>0.11139121449321737</v>
      </c>
      <c r="K260" s="809"/>
      <c r="L260" s="795"/>
      <c r="M260" s="782"/>
    </row>
    <row r="261" spans="1:13" ht="16" customHeight="1" x14ac:dyDescent="0.35">
      <c r="A261" s="660"/>
      <c r="B261" s="795"/>
      <c r="C261" s="802"/>
      <c r="D261" s="831" t="str">
        <f>" "&amp;INDEX(RatiosDD,Analysis05Ratio05)</f>
        <v xml:space="preserve"> Return on net assets (RONA), %</v>
      </c>
      <c r="E261" s="836"/>
      <c r="F261" s="892">
        <v>1.3804602329483186E-2</v>
      </c>
      <c r="G261" s="893">
        <v>4.2419923155870121E-2</v>
      </c>
      <c r="H261" s="893">
        <v>6.893355284252442E-2</v>
      </c>
      <c r="I261" s="893">
        <v>9.3568831958016657E-2</v>
      </c>
      <c r="J261" s="894">
        <v>0.11651853866500177</v>
      </c>
      <c r="K261" s="809"/>
      <c r="L261" s="795"/>
      <c r="M261" s="782"/>
    </row>
    <row r="262" spans="1:13" ht="16" customHeight="1" x14ac:dyDescent="0.35">
      <c r="A262" s="660"/>
      <c r="B262" s="795"/>
      <c r="C262" s="802"/>
      <c r="D262" s="831" t="str">
        <f>" "&amp;INDEX(RatiosDD,Analysis05Ratio06)</f>
        <v xml:space="preserve"> Economic Value Added (EVA), Euro</v>
      </c>
      <c r="E262" s="836"/>
      <c r="F262" s="840">
        <v>-67430.332376829057</v>
      </c>
      <c r="G262" s="841">
        <v>12145.146909400501</v>
      </c>
      <c r="H262" s="841">
        <v>91720.626195630175</v>
      </c>
      <c r="I262" s="841">
        <v>171296.10548186011</v>
      </c>
      <c r="J262" s="842">
        <v>250871.58476808964</v>
      </c>
      <c r="K262" s="809"/>
      <c r="L262" s="795"/>
      <c r="M262" s="782"/>
    </row>
    <row r="263" spans="1:13" ht="5.15" customHeight="1" x14ac:dyDescent="0.35">
      <c r="A263" s="660"/>
      <c r="B263" s="795"/>
      <c r="C263" s="843"/>
      <c r="D263" s="844"/>
      <c r="E263" s="844"/>
      <c r="F263" s="844"/>
      <c r="G263" s="844"/>
      <c r="H263" s="844"/>
      <c r="I263" s="844"/>
      <c r="J263" s="844"/>
      <c r="K263" s="845"/>
      <c r="L263" s="795"/>
      <c r="M263" s="782"/>
    </row>
    <row r="264" spans="1:13" ht="5.15" customHeight="1" x14ac:dyDescent="0.35">
      <c r="A264" s="660"/>
      <c r="B264" s="795"/>
      <c r="C264" s="795"/>
      <c r="D264" s="795"/>
      <c r="E264" s="795"/>
      <c r="F264" s="795"/>
      <c r="G264" s="795"/>
      <c r="H264" s="795"/>
      <c r="I264" s="795"/>
      <c r="J264" s="795"/>
      <c r="K264" s="795"/>
      <c r="L264" s="795"/>
      <c r="M264" s="782"/>
    </row>
    <row r="265" spans="1:13" ht="15.5" x14ac:dyDescent="0.35">
      <c r="A265" s="908"/>
      <c r="B265" s="282"/>
      <c r="C265" s="282"/>
      <c r="D265" s="282"/>
      <c r="E265" s="282"/>
      <c r="F265" s="282"/>
      <c r="G265" s="282"/>
      <c r="H265" s="282"/>
      <c r="I265" s="282"/>
      <c r="J265" s="282"/>
      <c r="K265" s="282"/>
      <c r="L265" s="282"/>
      <c r="M265" s="782"/>
    </row>
    <row r="266" spans="1:13" ht="5.15" customHeight="1" x14ac:dyDescent="0.35">
      <c r="A266" s="908"/>
      <c r="B266" s="282"/>
      <c r="C266" s="282"/>
      <c r="D266" s="282"/>
      <c r="E266" s="282"/>
      <c r="F266" s="282"/>
      <c r="G266" s="282"/>
      <c r="H266" s="282"/>
      <c r="I266" s="282"/>
      <c r="J266" s="282"/>
      <c r="K266" s="282"/>
      <c r="L266" s="282"/>
      <c r="M266" s="782"/>
    </row>
    <row r="267" spans="1:13" ht="15" customHeight="1" x14ac:dyDescent="0.35">
      <c r="A267" s="908" t="s">
        <v>5225</v>
      </c>
      <c r="B267" s="795"/>
      <c r="C267" s="796" t="str">
        <f>$C$221&amp;" 2"</f>
        <v>Variable´s impact on profitability 2</v>
      </c>
      <c r="D267" s="797"/>
      <c r="E267" s="797"/>
      <c r="F267" s="797"/>
      <c r="G267" s="797"/>
      <c r="H267" s="797"/>
      <c r="I267" s="797"/>
      <c r="J267" s="797"/>
      <c r="K267" s="798"/>
      <c r="L267" s="795"/>
      <c r="M267" s="782"/>
    </row>
    <row r="268" spans="1:13" ht="5.15" customHeight="1" x14ac:dyDescent="0.35">
      <c r="A268" s="908"/>
      <c r="B268" s="795"/>
      <c r="C268" s="867"/>
      <c r="D268" s="868"/>
      <c r="E268" s="868"/>
      <c r="F268" s="788">
        <f ca="1">1+(OFFSET(F268,2,0)/100)</f>
        <v>0.8</v>
      </c>
      <c r="G268" s="788">
        <f ca="1">(1+(OFFSET(G268,2,0)/100))/F268</f>
        <v>1.125</v>
      </c>
      <c r="H268" s="869"/>
      <c r="I268" s="788">
        <f ca="1">(1+(OFFSET(I268,2,0)/100))/(1+(OFFSET(G268,2,0)/100))</f>
        <v>1.2222222222222223</v>
      </c>
      <c r="J268" s="788">
        <f ca="1">(1+(OFFSET(J268,2,0)/100))/(1+(OFFSET(I268,2,0)/100))</f>
        <v>1.0909090909090908</v>
      </c>
      <c r="K268" s="870"/>
      <c r="L268" s="795"/>
      <c r="M268" s="782"/>
    </row>
    <row r="269" spans="1:13" ht="16" customHeight="1" x14ac:dyDescent="0.35">
      <c r="A269" s="908"/>
      <c r="B269" s="795"/>
      <c r="C269" s="802"/>
      <c r="D269" s="831" t="str">
        <f>$D$223</f>
        <v xml:space="preserve"> Variable</v>
      </c>
      <c r="E269" s="896"/>
      <c r="F269" s="831" t="str">
        <f ca="1">" "&amp;OFFSET(VarListAnalysis!$C$1,IncVar2,0)</f>
        <v xml:space="preserve"> &lt; Not in use &gt;</v>
      </c>
      <c r="G269" s="897"/>
      <c r="H269" s="897"/>
      <c r="I269" s="897"/>
      <c r="J269" s="836"/>
      <c r="K269" s="809"/>
      <c r="L269" s="795"/>
      <c r="M269" s="898" t="str">
        <f ca="1">VarRowsTxt</f>
        <v>Show row numbers</v>
      </c>
    </row>
    <row r="270" spans="1:13" ht="15" customHeight="1" x14ac:dyDescent="0.35">
      <c r="A270" s="908"/>
      <c r="B270" s="795"/>
      <c r="C270" s="802"/>
      <c r="D270" s="847" t="str">
        <f>$D$224</f>
        <v xml:space="preserve"> Change in value, %</v>
      </c>
      <c r="E270" s="909"/>
      <c r="F270" s="899">
        <v>-20</v>
      </c>
      <c r="G270" s="900">
        <v>-10</v>
      </c>
      <c r="H270" s="901">
        <v>0</v>
      </c>
      <c r="I270" s="900">
        <v>10</v>
      </c>
      <c r="J270" s="902">
        <v>20</v>
      </c>
      <c r="K270" s="809"/>
      <c r="L270" s="795"/>
      <c r="M270" s="782"/>
    </row>
    <row r="271" spans="1:13" ht="16" customHeight="1" x14ac:dyDescent="0.35">
      <c r="A271" s="908"/>
      <c r="B271" s="795"/>
      <c r="C271" s="802"/>
      <c r="D271" s="903" t="str">
        <f>$D$225</f>
        <v xml:space="preserve"> Sample value</v>
      </c>
      <c r="E271" s="904"/>
      <c r="F271" s="905">
        <f>$H271*(1+F270/100)</f>
        <v>0</v>
      </c>
      <c r="G271" s="906">
        <f>$H271*(1+G270/100)</f>
        <v>0</v>
      </c>
      <c r="H271" s="906">
        <f>IF(ISERROR(Specs!$B$12),0,Specs!$B$12)</f>
        <v>0</v>
      </c>
      <c r="I271" s="906">
        <f>$H271*(1+I270/100)</f>
        <v>0</v>
      </c>
      <c r="J271" s="907">
        <f>$H271*(1+J270/100)</f>
        <v>0</v>
      </c>
      <c r="K271" s="809"/>
      <c r="L271" s="795"/>
      <c r="M271" s="782"/>
    </row>
    <row r="272" spans="1:13" ht="16" customHeight="1" x14ac:dyDescent="0.35">
      <c r="A272" s="908"/>
      <c r="B272" s="795"/>
      <c r="C272" s="802"/>
      <c r="D272" s="816" t="str">
        <f>$D$48</f>
        <v xml:space="preserve"> Net Present Value (NPV)</v>
      </c>
      <c r="E272" s="854"/>
      <c r="F272" s="1226">
        <v>0</v>
      </c>
      <c r="G272" s="1227">
        <v>0</v>
      </c>
      <c r="H272" s="1228">
        <v>0</v>
      </c>
      <c r="I272" s="1229">
        <v>0</v>
      </c>
      <c r="J272" s="1230">
        <v>0</v>
      </c>
      <c r="K272" s="809"/>
      <c r="L272" s="795"/>
      <c r="M272" s="782"/>
    </row>
    <row r="273" spans="1:13" ht="15.5" hidden="1" x14ac:dyDescent="0.35">
      <c r="A273" s="908"/>
      <c r="B273" s="795"/>
      <c r="C273" s="802"/>
      <c r="D273" s="818"/>
      <c r="E273" s="855"/>
      <c r="F273" s="820"/>
      <c r="G273" s="647"/>
      <c r="H273" s="647"/>
      <c r="I273" s="647"/>
      <c r="J273" s="821"/>
      <c r="K273" s="809"/>
      <c r="L273" s="795"/>
      <c r="M273" s="782"/>
    </row>
    <row r="274" spans="1:13" ht="15.5" hidden="1" x14ac:dyDescent="0.35">
      <c r="A274" s="908"/>
      <c r="B274" s="795"/>
      <c r="C274" s="802"/>
      <c r="D274" s="818"/>
      <c r="E274" s="855"/>
      <c r="F274" s="856"/>
      <c r="G274" s="650"/>
      <c r="H274" s="650"/>
      <c r="I274" s="650"/>
      <c r="J274" s="857"/>
      <c r="K274" s="809"/>
      <c r="L274" s="795"/>
      <c r="M274" s="782"/>
    </row>
    <row r="275" spans="1:13" ht="15.5" hidden="1" x14ac:dyDescent="0.35">
      <c r="A275" s="908"/>
      <c r="B275" s="795"/>
      <c r="C275" s="802"/>
      <c r="D275" s="818"/>
      <c r="E275" s="855"/>
      <c r="F275" s="856"/>
      <c r="G275" s="650"/>
      <c r="H275" s="650"/>
      <c r="I275" s="650"/>
      <c r="J275" s="857"/>
      <c r="K275" s="809"/>
      <c r="L275" s="795"/>
      <c r="M275" s="782"/>
    </row>
    <row r="276" spans="1:13" ht="15.5" hidden="1" x14ac:dyDescent="0.35">
      <c r="A276" s="908"/>
      <c r="B276" s="795"/>
      <c r="C276" s="802"/>
      <c r="D276" s="818"/>
      <c r="E276" s="855"/>
      <c r="F276" s="856"/>
      <c r="G276" s="650"/>
      <c r="H276" s="650"/>
      <c r="I276" s="650"/>
      <c r="J276" s="857"/>
      <c r="K276" s="809"/>
      <c r="L276" s="795"/>
      <c r="M276" s="782"/>
    </row>
    <row r="277" spans="1:13" ht="15.5" hidden="1" x14ac:dyDescent="0.35">
      <c r="A277" s="908"/>
      <c r="B277" s="795"/>
      <c r="C277" s="802"/>
      <c r="D277" s="818"/>
      <c r="E277" s="855"/>
      <c r="F277" s="822"/>
      <c r="G277" s="649"/>
      <c r="H277" s="649"/>
      <c r="I277" s="649"/>
      <c r="J277" s="823"/>
      <c r="K277" s="809"/>
      <c r="L277" s="795"/>
      <c r="M277" s="782"/>
    </row>
    <row r="278" spans="1:13" ht="15.5" hidden="1" x14ac:dyDescent="0.35">
      <c r="A278" s="908"/>
      <c r="B278" s="795"/>
      <c r="C278" s="802"/>
      <c r="D278" s="818"/>
      <c r="E278" s="855"/>
      <c r="F278" s="820"/>
      <c r="G278" s="647"/>
      <c r="H278" s="647"/>
      <c r="I278" s="647"/>
      <c r="J278" s="821"/>
      <c r="K278" s="809"/>
      <c r="L278" s="795"/>
      <c r="M278" s="782"/>
    </row>
    <row r="279" spans="1:13" ht="15.5" hidden="1" x14ac:dyDescent="0.35">
      <c r="A279" s="908"/>
      <c r="B279" s="795"/>
      <c r="C279" s="802"/>
      <c r="D279" s="818"/>
      <c r="E279" s="855"/>
      <c r="F279" s="824"/>
      <c r="G279" s="651"/>
      <c r="H279" s="651"/>
      <c r="I279" s="651"/>
      <c r="J279" s="825"/>
      <c r="K279" s="809"/>
      <c r="L279" s="795"/>
      <c r="M279" s="782"/>
    </row>
    <row r="280" spans="1:13" ht="15.5" hidden="1" x14ac:dyDescent="0.35">
      <c r="A280" s="908"/>
      <c r="B280" s="795"/>
      <c r="C280" s="802"/>
      <c r="D280" s="818"/>
      <c r="E280" s="855"/>
      <c r="F280" s="824"/>
      <c r="G280" s="651"/>
      <c r="H280" s="651"/>
      <c r="I280" s="651"/>
      <c r="J280" s="825"/>
      <c r="K280" s="809"/>
      <c r="L280" s="795"/>
      <c r="M280" s="782"/>
    </row>
    <row r="281" spans="1:13" ht="15.5" hidden="1" x14ac:dyDescent="0.35">
      <c r="A281" s="908"/>
      <c r="B281" s="795"/>
      <c r="C281" s="802"/>
      <c r="D281" s="818"/>
      <c r="E281" s="855"/>
      <c r="F281" s="820"/>
      <c r="G281" s="647"/>
      <c r="H281" s="647"/>
      <c r="I281" s="647"/>
      <c r="J281" s="821"/>
      <c r="K281" s="809"/>
      <c r="L281" s="795"/>
      <c r="M281" s="782"/>
    </row>
    <row r="282" spans="1:13" ht="15.5" hidden="1" x14ac:dyDescent="0.35">
      <c r="A282" s="908"/>
      <c r="B282" s="795"/>
      <c r="C282" s="802"/>
      <c r="D282" s="818"/>
      <c r="E282" s="855"/>
      <c r="F282" s="856"/>
      <c r="G282" s="650"/>
      <c r="H282" s="650"/>
      <c r="I282" s="650"/>
      <c r="J282" s="857"/>
      <c r="K282" s="809"/>
      <c r="L282" s="795"/>
      <c r="M282" s="782"/>
    </row>
    <row r="283" spans="1:13" ht="15.5" hidden="1" x14ac:dyDescent="0.35">
      <c r="A283" s="908"/>
      <c r="B283" s="795"/>
      <c r="C283" s="802"/>
      <c r="D283" s="818"/>
      <c r="E283" s="855"/>
      <c r="F283" s="856"/>
      <c r="G283" s="650"/>
      <c r="H283" s="650"/>
      <c r="I283" s="650"/>
      <c r="J283" s="857"/>
      <c r="K283" s="809"/>
      <c r="L283" s="795"/>
      <c r="M283" s="782"/>
    </row>
    <row r="284" spans="1:13" ht="15.5" hidden="1" x14ac:dyDescent="0.35">
      <c r="A284" s="908"/>
      <c r="B284" s="795"/>
      <c r="C284" s="802"/>
      <c r="D284" s="818"/>
      <c r="E284" s="855"/>
      <c r="F284" s="856"/>
      <c r="G284" s="650"/>
      <c r="H284" s="650"/>
      <c r="I284" s="650"/>
      <c r="J284" s="857"/>
      <c r="K284" s="809"/>
      <c r="L284" s="795"/>
      <c r="M284" s="782"/>
    </row>
    <row r="285" spans="1:13" ht="15.5" hidden="1" x14ac:dyDescent="0.35">
      <c r="A285" s="908"/>
      <c r="B285" s="795"/>
      <c r="C285" s="802"/>
      <c r="D285" s="818"/>
      <c r="E285" s="855"/>
      <c r="F285" s="824"/>
      <c r="G285" s="651"/>
      <c r="H285" s="651"/>
      <c r="I285" s="651"/>
      <c r="J285" s="825"/>
      <c r="K285" s="809"/>
      <c r="L285" s="795"/>
      <c r="M285" s="782"/>
    </row>
    <row r="286" spans="1:13" ht="15.5" hidden="1" x14ac:dyDescent="0.35">
      <c r="A286" s="908"/>
      <c r="B286" s="795"/>
      <c r="C286" s="802"/>
      <c r="D286" s="818"/>
      <c r="E286" s="855"/>
      <c r="F286" s="824"/>
      <c r="G286" s="651"/>
      <c r="H286" s="651"/>
      <c r="I286" s="651"/>
      <c r="J286" s="825"/>
      <c r="K286" s="809"/>
      <c r="L286" s="795"/>
      <c r="M286" s="782"/>
    </row>
    <row r="287" spans="1:13" ht="14.15" customHeight="1" x14ac:dyDescent="0.35">
      <c r="A287" s="908"/>
      <c r="B287" s="795"/>
      <c r="C287" s="802"/>
      <c r="D287" s="826" t="str">
        <f>$D$6</f>
        <v xml:space="preserve"> Change, %</v>
      </c>
      <c r="E287" s="827"/>
      <c r="F287" s="812">
        <f>IF(AND(ISNUMBER(F272),ISNUMBER($H272)),(F272-$H272)/IF($H272=0,0.00001,ABS($H272))*100,"")</f>
        <v>0</v>
      </c>
      <c r="G287" s="813">
        <f>IF(AND(ISNUMBER(G272),ISNUMBER($H272)),(G272-$H272)/IF($H272=0,0.00001,ABS($H272))*100,"")</f>
        <v>0</v>
      </c>
      <c r="H287" s="813">
        <v>0</v>
      </c>
      <c r="I287" s="813">
        <f>IF(AND(ISNUMBER(I272),ISNUMBER($H272)),(I272-$H272)/IF($H272=0,0.00001,ABS($H272))*100,"")</f>
        <v>0</v>
      </c>
      <c r="J287" s="815">
        <f>IF(AND(ISNUMBER(J272),ISNUMBER($H272)),(J272-$H272)/IF($H272=0,0.00001,ABS($H272))*100,"")</f>
        <v>0</v>
      </c>
      <c r="K287" s="809"/>
      <c r="L287" s="795"/>
      <c r="M287" s="782"/>
    </row>
    <row r="288" spans="1:13" ht="13" customHeight="1" x14ac:dyDescent="0.35">
      <c r="A288" s="908"/>
      <c r="B288" s="795"/>
      <c r="C288" s="802"/>
      <c r="D288" s="877"/>
      <c r="E288" s="878"/>
      <c r="F288" s="878"/>
      <c r="G288" s="878"/>
      <c r="H288" s="878"/>
      <c r="I288" s="878"/>
      <c r="J288" s="879"/>
      <c r="K288" s="809"/>
      <c r="L288" s="795"/>
      <c r="M288" s="782"/>
    </row>
    <row r="289" spans="1:13" ht="13" customHeight="1" x14ac:dyDescent="0.35">
      <c r="A289" s="908"/>
      <c r="B289" s="795"/>
      <c r="C289" s="802"/>
      <c r="D289" s="880"/>
      <c r="E289" s="830"/>
      <c r="F289" s="830"/>
      <c r="G289" s="830"/>
      <c r="H289" s="830"/>
      <c r="I289" s="830"/>
      <c r="J289" s="881"/>
      <c r="K289" s="809"/>
      <c r="L289" s="795"/>
      <c r="M289" s="782"/>
    </row>
    <row r="290" spans="1:13" ht="13" customHeight="1" x14ac:dyDescent="0.35">
      <c r="A290" s="908"/>
      <c r="B290" s="795"/>
      <c r="C290" s="802"/>
      <c r="D290" s="880"/>
      <c r="E290" s="830"/>
      <c r="F290" s="830"/>
      <c r="G290" s="830"/>
      <c r="H290" s="830"/>
      <c r="I290" s="830"/>
      <c r="J290" s="881"/>
      <c r="K290" s="809"/>
      <c r="L290" s="795"/>
      <c r="M290" s="782"/>
    </row>
    <row r="291" spans="1:13" ht="13" customHeight="1" x14ac:dyDescent="0.35">
      <c r="A291" s="908"/>
      <c r="B291" s="795"/>
      <c r="C291" s="802"/>
      <c r="D291" s="880"/>
      <c r="E291" s="830"/>
      <c r="F291" s="830"/>
      <c r="G291" s="830"/>
      <c r="H291" s="830"/>
      <c r="I291" s="830"/>
      <c r="J291" s="881"/>
      <c r="K291" s="809"/>
      <c r="L291" s="795"/>
      <c r="M291" s="782"/>
    </row>
    <row r="292" spans="1:13" ht="13" customHeight="1" x14ac:dyDescent="0.35">
      <c r="A292" s="908"/>
      <c r="B292" s="795"/>
      <c r="C292" s="802"/>
      <c r="D292" s="880"/>
      <c r="E292" s="830"/>
      <c r="F292" s="830"/>
      <c r="G292" s="830"/>
      <c r="H292" s="830"/>
      <c r="I292" s="830"/>
      <c r="J292" s="881"/>
      <c r="K292" s="809"/>
      <c r="L292" s="795"/>
      <c r="M292" s="782"/>
    </row>
    <row r="293" spans="1:13" ht="13" customHeight="1" x14ac:dyDescent="0.35">
      <c r="A293" s="908"/>
      <c r="B293" s="795"/>
      <c r="C293" s="802"/>
      <c r="D293" s="880"/>
      <c r="E293" s="830"/>
      <c r="F293" s="830"/>
      <c r="G293" s="830"/>
      <c r="H293" s="830"/>
      <c r="I293" s="830"/>
      <c r="J293" s="881"/>
      <c r="K293" s="809"/>
      <c r="L293" s="795"/>
      <c r="M293" s="782"/>
    </row>
    <row r="294" spans="1:13" ht="13" customHeight="1" x14ac:dyDescent="0.35">
      <c r="A294" s="908"/>
      <c r="B294" s="795"/>
      <c r="C294" s="802"/>
      <c r="D294" s="880"/>
      <c r="E294" s="830"/>
      <c r="F294" s="830"/>
      <c r="G294" s="830"/>
      <c r="H294" s="830"/>
      <c r="I294" s="830"/>
      <c r="J294" s="881"/>
      <c r="K294" s="809"/>
      <c r="L294" s="795"/>
      <c r="M294" s="782"/>
    </row>
    <row r="295" spans="1:13" ht="13" customHeight="1" x14ac:dyDescent="0.35">
      <c r="A295" s="908"/>
      <c r="B295" s="795"/>
      <c r="C295" s="802"/>
      <c r="D295" s="880"/>
      <c r="E295" s="830"/>
      <c r="F295" s="830"/>
      <c r="G295" s="830"/>
      <c r="H295" s="830"/>
      <c r="I295" s="830"/>
      <c r="J295" s="881"/>
      <c r="K295" s="809"/>
      <c r="L295" s="795"/>
      <c r="M295" s="782"/>
    </row>
    <row r="296" spans="1:13" ht="13" customHeight="1" x14ac:dyDescent="0.35">
      <c r="A296" s="908"/>
      <c r="B296" s="795"/>
      <c r="C296" s="802"/>
      <c r="D296" s="880"/>
      <c r="E296" s="830"/>
      <c r="F296" s="830"/>
      <c r="G296" s="830"/>
      <c r="H296" s="830"/>
      <c r="I296" s="830"/>
      <c r="J296" s="881"/>
      <c r="K296" s="809"/>
      <c r="L296" s="795"/>
      <c r="M296" s="782"/>
    </row>
    <row r="297" spans="1:13" ht="13" customHeight="1" x14ac:dyDescent="0.35">
      <c r="A297" s="908"/>
      <c r="B297" s="795"/>
      <c r="C297" s="802"/>
      <c r="D297" s="880"/>
      <c r="E297" s="830"/>
      <c r="F297" s="830"/>
      <c r="G297" s="830"/>
      <c r="H297" s="830"/>
      <c r="I297" s="830"/>
      <c r="J297" s="881"/>
      <c r="K297" s="809"/>
      <c r="L297" s="795"/>
      <c r="M297" s="782"/>
    </row>
    <row r="298" spans="1:13" ht="13" customHeight="1" x14ac:dyDescent="0.35">
      <c r="A298" s="908"/>
      <c r="B298" s="795"/>
      <c r="C298" s="802"/>
      <c r="D298" s="880"/>
      <c r="E298" s="830"/>
      <c r="F298" s="830"/>
      <c r="G298" s="830"/>
      <c r="H298" s="830"/>
      <c r="I298" s="830"/>
      <c r="J298" s="881"/>
      <c r="K298" s="809"/>
      <c r="L298" s="795"/>
      <c r="M298" s="782"/>
    </row>
    <row r="299" spans="1:13" ht="13" customHeight="1" x14ac:dyDescent="0.35">
      <c r="A299" s="908"/>
      <c r="B299" s="795"/>
      <c r="C299" s="802"/>
      <c r="D299" s="880"/>
      <c r="E299" s="830"/>
      <c r="F299" s="830"/>
      <c r="G299" s="830"/>
      <c r="H299" s="830"/>
      <c r="I299" s="830"/>
      <c r="J299" s="881"/>
      <c r="K299" s="809"/>
      <c r="L299" s="795"/>
      <c r="M299" s="782"/>
    </row>
    <row r="300" spans="1:13" ht="13" customHeight="1" x14ac:dyDescent="0.35">
      <c r="A300" s="908"/>
      <c r="B300" s="795"/>
      <c r="C300" s="802"/>
      <c r="D300" s="880"/>
      <c r="E300" s="830"/>
      <c r="F300" s="830"/>
      <c r="G300" s="830"/>
      <c r="H300" s="830"/>
      <c r="I300" s="830"/>
      <c r="J300" s="881"/>
      <c r="K300" s="809"/>
      <c r="L300" s="795"/>
      <c r="M300" s="782"/>
    </row>
    <row r="301" spans="1:13" ht="13" customHeight="1" x14ac:dyDescent="0.35">
      <c r="A301" s="908"/>
      <c r="B301" s="795"/>
      <c r="C301" s="802"/>
      <c r="D301" s="882"/>
      <c r="E301" s="883"/>
      <c r="F301" s="883"/>
      <c r="G301" s="883"/>
      <c r="H301" s="883"/>
      <c r="I301" s="883"/>
      <c r="J301" s="884"/>
      <c r="K301" s="809"/>
      <c r="L301" s="795"/>
      <c r="M301" s="782"/>
    </row>
    <row r="302" spans="1:13" ht="16" customHeight="1" x14ac:dyDescent="0.35">
      <c r="A302" s="908"/>
      <c r="B302" s="795"/>
      <c r="C302" s="802"/>
      <c r="D302" s="831" t="str">
        <f>$D$78</f>
        <v xml:space="preserve"> Key financials</v>
      </c>
      <c r="E302" s="885" t="str">
        <f>FinYearR05</f>
        <v>12/2019</v>
      </c>
      <c r="F302" s="889">
        <f>F270</f>
        <v>-20</v>
      </c>
      <c r="G302" s="890">
        <f>G270</f>
        <v>-10</v>
      </c>
      <c r="H302" s="890">
        <f>H270</f>
        <v>0</v>
      </c>
      <c r="I302" s="890">
        <f>I270</f>
        <v>10</v>
      </c>
      <c r="J302" s="891">
        <f>J270</f>
        <v>20</v>
      </c>
      <c r="K302" s="809"/>
      <c r="L302" s="795"/>
      <c r="M302" s="782"/>
    </row>
    <row r="303" spans="1:13" ht="16" customHeight="1" x14ac:dyDescent="0.35">
      <c r="A303" s="908"/>
      <c r="B303" s="795"/>
      <c r="C303" s="802"/>
      <c r="D303" s="831" t="str">
        <f>" "&amp;INDEX(RatiosDD,Analysis05Ratio01)</f>
        <v xml:space="preserve"> EBITDA; Operating income before depreciation, Euro</v>
      </c>
      <c r="E303" s="836"/>
      <c r="F303" s="840" t="s">
        <v>45</v>
      </c>
      <c r="G303" s="841"/>
      <c r="H303" s="841"/>
      <c r="I303" s="841"/>
      <c r="J303" s="842"/>
      <c r="K303" s="809"/>
      <c r="L303" s="795"/>
      <c r="M303" s="782"/>
    </row>
    <row r="304" spans="1:13" ht="16" customHeight="1" x14ac:dyDescent="0.35">
      <c r="A304" s="908"/>
      <c r="B304" s="795"/>
      <c r="C304" s="802"/>
      <c r="D304" s="831" t="str">
        <f>" "&amp;INDEX(RatiosDD,Analysis05Ratio02)</f>
        <v xml:space="preserve"> EBITDA, %</v>
      </c>
      <c r="E304" s="836"/>
      <c r="F304" s="864"/>
      <c r="G304" s="865"/>
      <c r="H304" s="865"/>
      <c r="I304" s="865"/>
      <c r="J304" s="866"/>
      <c r="K304" s="809"/>
      <c r="L304" s="795"/>
      <c r="M304" s="782"/>
    </row>
    <row r="305" spans="1:13" ht="16" customHeight="1" x14ac:dyDescent="0.35">
      <c r="A305" s="908"/>
      <c r="B305" s="795"/>
      <c r="C305" s="802"/>
      <c r="D305" s="831" t="str">
        <f>" "&amp;INDEX(RatiosDD,Analysis05Ratio03)</f>
        <v xml:space="preserve"> EBIT; Operating income, Euro</v>
      </c>
      <c r="E305" s="836"/>
      <c r="F305" s="837"/>
      <c r="G305" s="838"/>
      <c r="H305" s="838"/>
      <c r="I305" s="838"/>
      <c r="J305" s="839"/>
      <c r="K305" s="809"/>
      <c r="L305" s="795"/>
      <c r="M305" s="782"/>
    </row>
    <row r="306" spans="1:13" ht="16" customHeight="1" x14ac:dyDescent="0.35">
      <c r="A306" s="908"/>
      <c r="B306" s="795"/>
      <c r="C306" s="802"/>
      <c r="D306" s="831" t="str">
        <f>" "&amp;INDEX(RatiosDD,Analysis05Ratio04)</f>
        <v xml:space="preserve"> EBIT, %</v>
      </c>
      <c r="E306" s="836"/>
      <c r="F306" s="840"/>
      <c r="G306" s="841"/>
      <c r="H306" s="841"/>
      <c r="I306" s="841"/>
      <c r="J306" s="842"/>
      <c r="K306" s="809"/>
      <c r="L306" s="795"/>
      <c r="M306" s="782"/>
    </row>
    <row r="307" spans="1:13" ht="16" customHeight="1" x14ac:dyDescent="0.35">
      <c r="A307" s="908"/>
      <c r="B307" s="795"/>
      <c r="C307" s="802"/>
      <c r="D307" s="831" t="str">
        <f>" "&amp;INDEX(RatiosDD,Analysis05Ratio05)</f>
        <v xml:space="preserve"> Return on net assets (RONA), %</v>
      </c>
      <c r="E307" s="836"/>
      <c r="F307" s="840"/>
      <c r="G307" s="841"/>
      <c r="H307" s="841"/>
      <c r="I307" s="841"/>
      <c r="J307" s="842"/>
      <c r="K307" s="809"/>
      <c r="L307" s="795"/>
      <c r="M307" s="782"/>
    </row>
    <row r="308" spans="1:13" ht="16" customHeight="1" x14ac:dyDescent="0.35">
      <c r="A308" s="908"/>
      <c r="B308" s="795"/>
      <c r="C308" s="802"/>
      <c r="D308" s="831" t="str">
        <f>" "&amp;INDEX(RatiosDD,Analysis05Ratio06)</f>
        <v xml:space="preserve"> Economic Value Added (EVA), Euro</v>
      </c>
      <c r="E308" s="836"/>
      <c r="F308" s="837"/>
      <c r="G308" s="838"/>
      <c r="H308" s="838"/>
      <c r="I308" s="838"/>
      <c r="J308" s="839"/>
      <c r="K308" s="809"/>
      <c r="L308" s="795"/>
      <c r="M308" s="782"/>
    </row>
    <row r="309" spans="1:13" ht="5.15" customHeight="1" x14ac:dyDescent="0.35">
      <c r="A309" s="908"/>
      <c r="B309" s="795"/>
      <c r="C309" s="843"/>
      <c r="D309" s="844"/>
      <c r="E309" s="844"/>
      <c r="F309" s="844"/>
      <c r="G309" s="844"/>
      <c r="H309" s="844"/>
      <c r="I309" s="844"/>
      <c r="J309" s="844"/>
      <c r="K309" s="845"/>
      <c r="L309" s="795"/>
      <c r="M309" s="782"/>
    </row>
    <row r="310" spans="1:13" ht="5.15" customHeight="1" x14ac:dyDescent="0.35">
      <c r="A310" s="908"/>
      <c r="B310" s="795"/>
      <c r="C310" s="795"/>
      <c r="D310" s="795"/>
      <c r="E310" s="795"/>
      <c r="F310" s="795"/>
      <c r="G310" s="795"/>
      <c r="H310" s="795"/>
      <c r="I310" s="795"/>
      <c r="J310" s="795"/>
      <c r="K310" s="795"/>
      <c r="L310" s="795"/>
      <c r="M310" s="782"/>
    </row>
    <row r="311" spans="1:13" ht="15.5" x14ac:dyDescent="0.35">
      <c r="A311" s="908"/>
      <c r="B311" s="282"/>
      <c r="C311" s="282"/>
      <c r="D311" s="282"/>
      <c r="E311" s="282"/>
      <c r="F311" s="282"/>
      <c r="G311" s="282"/>
      <c r="H311" s="282"/>
      <c r="I311" s="282"/>
      <c r="J311" s="282"/>
      <c r="K311" s="282"/>
      <c r="L311" s="282"/>
      <c r="M311" s="782"/>
    </row>
    <row r="312" spans="1:13" ht="5.15" customHeight="1" x14ac:dyDescent="0.35">
      <c r="A312" s="908"/>
      <c r="B312" s="282"/>
      <c r="C312" s="282"/>
      <c r="D312" s="282"/>
      <c r="E312" s="282"/>
      <c r="F312" s="282"/>
      <c r="G312" s="282"/>
      <c r="H312" s="282"/>
      <c r="I312" s="282"/>
      <c r="J312" s="282"/>
      <c r="K312" s="282"/>
      <c r="L312" s="282"/>
      <c r="M312" s="782"/>
    </row>
    <row r="313" spans="1:13" ht="15" customHeight="1" x14ac:dyDescent="0.35">
      <c r="A313" s="908" t="s">
        <v>5226</v>
      </c>
      <c r="B313" s="795"/>
      <c r="C313" s="796" t="str">
        <f>$C$221&amp;" 3"</f>
        <v>Variable´s impact on profitability 3</v>
      </c>
      <c r="D313" s="797"/>
      <c r="E313" s="797"/>
      <c r="F313" s="797"/>
      <c r="G313" s="797"/>
      <c r="H313" s="797"/>
      <c r="I313" s="797"/>
      <c r="J313" s="797"/>
      <c r="K313" s="798"/>
      <c r="L313" s="795"/>
      <c r="M313" s="782"/>
    </row>
    <row r="314" spans="1:13" ht="5.15" customHeight="1" x14ac:dyDescent="0.35">
      <c r="A314" s="908"/>
      <c r="B314" s="795"/>
      <c r="C314" s="867"/>
      <c r="D314" s="868"/>
      <c r="E314" s="868"/>
      <c r="F314" s="788">
        <f ca="1">1+(OFFSET(F314,2,0)/100)</f>
        <v>0.8</v>
      </c>
      <c r="G314" s="788">
        <f ca="1">(1+(OFFSET(G314,2,0)/100))/F314</f>
        <v>1.125</v>
      </c>
      <c r="H314" s="869"/>
      <c r="I314" s="788">
        <f ca="1">(1+(OFFSET(I314,2,0)/100))/(1+(OFFSET(G314,2,0)/100))</f>
        <v>1.2222222222222223</v>
      </c>
      <c r="J314" s="788">
        <f ca="1">(1+(OFFSET(J314,2,0)/100))/(1+(OFFSET(I314,2,0)/100))</f>
        <v>1.0909090909090908</v>
      </c>
      <c r="K314" s="870"/>
      <c r="L314" s="795"/>
      <c r="M314" s="782"/>
    </row>
    <row r="315" spans="1:13" ht="16" customHeight="1" x14ac:dyDescent="0.35">
      <c r="A315" s="908"/>
      <c r="B315" s="795"/>
      <c r="C315" s="802"/>
      <c r="D315" s="831" t="str">
        <f>$D$223</f>
        <v xml:space="preserve"> Variable</v>
      </c>
      <c r="E315" s="896"/>
      <c r="F315" s="831" t="str">
        <f ca="1">" "&amp;OFFSET(VarListAnalysis!$C$1,IncVar3,0)</f>
        <v xml:space="preserve"> &lt; Not in use &gt;</v>
      </c>
      <c r="G315" s="897"/>
      <c r="H315" s="897"/>
      <c r="I315" s="897"/>
      <c r="J315" s="836"/>
      <c r="K315" s="809"/>
      <c r="L315" s="795"/>
      <c r="M315" s="898" t="str">
        <f ca="1">VarRowsTxt</f>
        <v>Show row numbers</v>
      </c>
    </row>
    <row r="316" spans="1:13" ht="15" customHeight="1" x14ac:dyDescent="0.35">
      <c r="A316" s="908"/>
      <c r="B316" s="795"/>
      <c r="C316" s="802"/>
      <c r="D316" s="847" t="str">
        <f>$D$224</f>
        <v xml:space="preserve"> Change in value, %</v>
      </c>
      <c r="E316" s="909"/>
      <c r="F316" s="899">
        <v>-20</v>
      </c>
      <c r="G316" s="900">
        <v>-10</v>
      </c>
      <c r="H316" s="901">
        <v>0</v>
      </c>
      <c r="I316" s="900">
        <v>10</v>
      </c>
      <c r="J316" s="902">
        <v>20</v>
      </c>
      <c r="K316" s="809"/>
      <c r="L316" s="795"/>
      <c r="M316" s="782"/>
    </row>
    <row r="317" spans="1:13" ht="16" customHeight="1" x14ac:dyDescent="0.35">
      <c r="A317" s="908"/>
      <c r="B317" s="795"/>
      <c r="C317" s="802"/>
      <c r="D317" s="903" t="str">
        <f>$D$225</f>
        <v xml:space="preserve"> Sample value</v>
      </c>
      <c r="E317" s="904"/>
      <c r="F317" s="905">
        <f>$H317*(1+F316/100)</f>
        <v>0</v>
      </c>
      <c r="G317" s="906">
        <f>$H317*(1+G316/100)</f>
        <v>0</v>
      </c>
      <c r="H317" s="906">
        <f>IF(ISERROR(Specs!$B$12),0,Specs!$B$12)</f>
        <v>0</v>
      </c>
      <c r="I317" s="906">
        <f>$H317*(1+I316/100)</f>
        <v>0</v>
      </c>
      <c r="J317" s="907">
        <f>$H317*(1+J316/100)</f>
        <v>0</v>
      </c>
      <c r="K317" s="809"/>
      <c r="L317" s="795"/>
      <c r="M317" s="782"/>
    </row>
    <row r="318" spans="1:13" ht="16" customHeight="1" x14ac:dyDescent="0.35">
      <c r="A318" s="908"/>
      <c r="B318" s="795"/>
      <c r="C318" s="802"/>
      <c r="D318" s="816" t="str">
        <f>$D$48</f>
        <v xml:space="preserve"> Net Present Value (NPV)</v>
      </c>
      <c r="E318" s="854"/>
      <c r="F318" s="1226">
        <v>0</v>
      </c>
      <c r="G318" s="1227">
        <v>0</v>
      </c>
      <c r="H318" s="1228">
        <v>0</v>
      </c>
      <c r="I318" s="1229">
        <v>0</v>
      </c>
      <c r="J318" s="1230">
        <v>0</v>
      </c>
      <c r="K318" s="809"/>
      <c r="L318" s="795"/>
      <c r="M318" s="782"/>
    </row>
    <row r="319" spans="1:13" ht="15.5" hidden="1" x14ac:dyDescent="0.35">
      <c r="A319" s="908"/>
      <c r="B319" s="795"/>
      <c r="C319" s="802"/>
      <c r="D319" s="818"/>
      <c r="E319" s="855"/>
      <c r="F319" s="820"/>
      <c r="G319" s="647"/>
      <c r="H319" s="647"/>
      <c r="I319" s="647"/>
      <c r="J319" s="821"/>
      <c r="K319" s="809"/>
      <c r="L319" s="795"/>
      <c r="M319" s="782"/>
    </row>
    <row r="320" spans="1:13" ht="15.5" hidden="1" x14ac:dyDescent="0.35">
      <c r="A320" s="908"/>
      <c r="B320" s="795"/>
      <c r="C320" s="802"/>
      <c r="D320" s="818"/>
      <c r="E320" s="855"/>
      <c r="F320" s="856"/>
      <c r="G320" s="650"/>
      <c r="H320" s="650"/>
      <c r="I320" s="650"/>
      <c r="J320" s="857"/>
      <c r="K320" s="809"/>
      <c r="L320" s="795"/>
      <c r="M320" s="782"/>
    </row>
    <row r="321" spans="1:13" ht="15.5" hidden="1" x14ac:dyDescent="0.35">
      <c r="A321" s="908"/>
      <c r="B321" s="795"/>
      <c r="C321" s="802"/>
      <c r="D321" s="818"/>
      <c r="E321" s="855"/>
      <c r="F321" s="856"/>
      <c r="G321" s="650"/>
      <c r="H321" s="650"/>
      <c r="I321" s="650"/>
      <c r="J321" s="857"/>
      <c r="K321" s="809"/>
      <c r="L321" s="795"/>
      <c r="M321" s="782"/>
    </row>
    <row r="322" spans="1:13" ht="15.5" hidden="1" x14ac:dyDescent="0.35">
      <c r="A322" s="908"/>
      <c r="B322" s="795"/>
      <c r="C322" s="802"/>
      <c r="D322" s="818"/>
      <c r="E322" s="855"/>
      <c r="F322" s="856"/>
      <c r="G322" s="650"/>
      <c r="H322" s="650"/>
      <c r="I322" s="650"/>
      <c r="J322" s="857"/>
      <c r="K322" s="809"/>
      <c r="L322" s="795"/>
      <c r="M322" s="782"/>
    </row>
    <row r="323" spans="1:13" ht="15.5" hidden="1" x14ac:dyDescent="0.35">
      <c r="A323" s="908"/>
      <c r="B323" s="795"/>
      <c r="C323" s="802"/>
      <c r="D323" s="818"/>
      <c r="E323" s="855"/>
      <c r="F323" s="822"/>
      <c r="G323" s="649"/>
      <c r="H323" s="649"/>
      <c r="I323" s="649"/>
      <c r="J323" s="823"/>
      <c r="K323" s="809"/>
      <c r="L323" s="795"/>
      <c r="M323" s="782"/>
    </row>
    <row r="324" spans="1:13" ht="15.5" hidden="1" x14ac:dyDescent="0.35">
      <c r="A324" s="908"/>
      <c r="B324" s="795"/>
      <c r="C324" s="802"/>
      <c r="D324" s="818"/>
      <c r="E324" s="855"/>
      <c r="F324" s="820"/>
      <c r="G324" s="647"/>
      <c r="H324" s="647"/>
      <c r="I324" s="647"/>
      <c r="J324" s="821"/>
      <c r="K324" s="809"/>
      <c r="L324" s="795"/>
      <c r="M324" s="782"/>
    </row>
    <row r="325" spans="1:13" ht="15.5" hidden="1" x14ac:dyDescent="0.35">
      <c r="A325" s="908"/>
      <c r="B325" s="795"/>
      <c r="C325" s="802"/>
      <c r="D325" s="818"/>
      <c r="E325" s="855"/>
      <c r="F325" s="824"/>
      <c r="G325" s="651"/>
      <c r="H325" s="651"/>
      <c r="I325" s="651"/>
      <c r="J325" s="825"/>
      <c r="K325" s="809"/>
      <c r="L325" s="795"/>
      <c r="M325" s="782"/>
    </row>
    <row r="326" spans="1:13" ht="15.5" hidden="1" x14ac:dyDescent="0.35">
      <c r="A326" s="908"/>
      <c r="B326" s="795"/>
      <c r="C326" s="802"/>
      <c r="D326" s="818"/>
      <c r="E326" s="855"/>
      <c r="F326" s="824"/>
      <c r="G326" s="651"/>
      <c r="H326" s="651"/>
      <c r="I326" s="651"/>
      <c r="J326" s="825"/>
      <c r="K326" s="809"/>
      <c r="L326" s="795"/>
      <c r="M326" s="782"/>
    </row>
    <row r="327" spans="1:13" ht="15.5" hidden="1" x14ac:dyDescent="0.35">
      <c r="A327" s="908"/>
      <c r="B327" s="795"/>
      <c r="C327" s="802"/>
      <c r="D327" s="818"/>
      <c r="E327" s="855"/>
      <c r="F327" s="820"/>
      <c r="G327" s="647"/>
      <c r="H327" s="647"/>
      <c r="I327" s="647"/>
      <c r="J327" s="821"/>
      <c r="K327" s="809"/>
      <c r="L327" s="795"/>
      <c r="M327" s="782"/>
    </row>
    <row r="328" spans="1:13" ht="15.5" hidden="1" x14ac:dyDescent="0.35">
      <c r="A328" s="908"/>
      <c r="B328" s="795"/>
      <c r="C328" s="802"/>
      <c r="D328" s="818"/>
      <c r="E328" s="855"/>
      <c r="F328" s="856"/>
      <c r="G328" s="650"/>
      <c r="H328" s="650"/>
      <c r="I328" s="650"/>
      <c r="J328" s="857"/>
      <c r="K328" s="809"/>
      <c r="L328" s="795"/>
      <c r="M328" s="782"/>
    </row>
    <row r="329" spans="1:13" ht="15.5" hidden="1" x14ac:dyDescent="0.35">
      <c r="A329" s="908"/>
      <c r="B329" s="795"/>
      <c r="C329" s="802"/>
      <c r="D329" s="818"/>
      <c r="E329" s="855"/>
      <c r="F329" s="856"/>
      <c r="G329" s="650"/>
      <c r="H329" s="650"/>
      <c r="I329" s="650"/>
      <c r="J329" s="857"/>
      <c r="K329" s="809"/>
      <c r="L329" s="795"/>
      <c r="M329" s="782"/>
    </row>
    <row r="330" spans="1:13" ht="15.5" hidden="1" x14ac:dyDescent="0.35">
      <c r="A330" s="908"/>
      <c r="B330" s="795"/>
      <c r="C330" s="802"/>
      <c r="D330" s="818"/>
      <c r="E330" s="855"/>
      <c r="F330" s="856"/>
      <c r="G330" s="650"/>
      <c r="H330" s="650"/>
      <c r="I330" s="650"/>
      <c r="J330" s="857"/>
      <c r="K330" s="809"/>
      <c r="L330" s="795"/>
      <c r="M330" s="782"/>
    </row>
    <row r="331" spans="1:13" ht="15.5" hidden="1" x14ac:dyDescent="0.35">
      <c r="A331" s="908"/>
      <c r="B331" s="795"/>
      <c r="C331" s="802"/>
      <c r="D331" s="818"/>
      <c r="E331" s="855"/>
      <c r="F331" s="824"/>
      <c r="G331" s="651"/>
      <c r="H331" s="651"/>
      <c r="I331" s="651"/>
      <c r="J331" s="825"/>
      <c r="K331" s="809"/>
      <c r="L331" s="795"/>
      <c r="M331" s="782"/>
    </row>
    <row r="332" spans="1:13" ht="15.5" hidden="1" x14ac:dyDescent="0.35">
      <c r="A332" s="908"/>
      <c r="B332" s="795"/>
      <c r="C332" s="802"/>
      <c r="D332" s="818"/>
      <c r="E332" s="855"/>
      <c r="F332" s="824"/>
      <c r="G332" s="651"/>
      <c r="H332" s="651"/>
      <c r="I332" s="651"/>
      <c r="J332" s="825"/>
      <c r="K332" s="809"/>
      <c r="L332" s="795"/>
      <c r="M332" s="782"/>
    </row>
    <row r="333" spans="1:13" ht="14.15" customHeight="1" x14ac:dyDescent="0.35">
      <c r="A333" s="908"/>
      <c r="B333" s="795"/>
      <c r="C333" s="802"/>
      <c r="D333" s="826" t="str">
        <f>$D$6</f>
        <v xml:space="preserve"> Change, %</v>
      </c>
      <c r="E333" s="827"/>
      <c r="F333" s="812">
        <f>IF(AND(ISNUMBER(F318),ISNUMBER($H318)),(F318-$H318)/IF($H318=0,0.00001,ABS($H318))*100,"")</f>
        <v>0</v>
      </c>
      <c r="G333" s="813">
        <f>IF(AND(ISNUMBER(G318),ISNUMBER($H318)),(G318-$H318)/IF($H318=0,0.00001,ABS($H318))*100,"")</f>
        <v>0</v>
      </c>
      <c r="H333" s="813">
        <v>0</v>
      </c>
      <c r="I333" s="813">
        <f>IF(AND(ISNUMBER(I318),ISNUMBER($H318)),(I318-$H318)/IF($H318=0,0.00001,ABS($H318))*100,"")</f>
        <v>0</v>
      </c>
      <c r="J333" s="815">
        <f>IF(AND(ISNUMBER(J318),ISNUMBER($H318)),(J318-$H318)/IF($H318=0,0.00001,ABS($H318))*100,"")</f>
        <v>0</v>
      </c>
      <c r="K333" s="809"/>
      <c r="L333" s="795"/>
      <c r="M333" s="782"/>
    </row>
    <row r="334" spans="1:13" ht="13" customHeight="1" x14ac:dyDescent="0.35">
      <c r="A334" s="908"/>
      <c r="B334" s="795"/>
      <c r="C334" s="802"/>
      <c r="D334" s="877"/>
      <c r="E334" s="878"/>
      <c r="F334" s="878"/>
      <c r="G334" s="878"/>
      <c r="H334" s="878"/>
      <c r="I334" s="878"/>
      <c r="J334" s="879"/>
      <c r="K334" s="809"/>
      <c r="L334" s="795"/>
      <c r="M334" s="782"/>
    </row>
    <row r="335" spans="1:13" ht="13" customHeight="1" x14ac:dyDescent="0.35">
      <c r="A335" s="908"/>
      <c r="B335" s="795"/>
      <c r="C335" s="802"/>
      <c r="D335" s="880"/>
      <c r="E335" s="830"/>
      <c r="F335" s="830"/>
      <c r="G335" s="830"/>
      <c r="H335" s="830"/>
      <c r="I335" s="830"/>
      <c r="J335" s="881"/>
      <c r="K335" s="809"/>
      <c r="L335" s="795"/>
      <c r="M335" s="782"/>
    </row>
    <row r="336" spans="1:13" ht="13" customHeight="1" x14ac:dyDescent="0.35">
      <c r="A336" s="908"/>
      <c r="B336" s="795"/>
      <c r="C336" s="802"/>
      <c r="D336" s="880"/>
      <c r="E336" s="830"/>
      <c r="F336" s="830"/>
      <c r="G336" s="830"/>
      <c r="H336" s="830"/>
      <c r="I336" s="830"/>
      <c r="J336" s="881"/>
      <c r="K336" s="809"/>
      <c r="L336" s="795"/>
      <c r="M336" s="782"/>
    </row>
    <row r="337" spans="1:13" ht="13" customHeight="1" x14ac:dyDescent="0.35">
      <c r="A337" s="908"/>
      <c r="B337" s="795"/>
      <c r="C337" s="802"/>
      <c r="D337" s="880"/>
      <c r="E337" s="830"/>
      <c r="F337" s="830"/>
      <c r="G337" s="830"/>
      <c r="H337" s="830"/>
      <c r="I337" s="830"/>
      <c r="J337" s="881"/>
      <c r="K337" s="809"/>
      <c r="L337" s="795"/>
      <c r="M337" s="782"/>
    </row>
    <row r="338" spans="1:13" ht="13" customHeight="1" x14ac:dyDescent="0.35">
      <c r="A338" s="908"/>
      <c r="B338" s="795"/>
      <c r="C338" s="802"/>
      <c r="D338" s="880"/>
      <c r="E338" s="830"/>
      <c r="F338" s="830"/>
      <c r="G338" s="830"/>
      <c r="H338" s="830"/>
      <c r="I338" s="830"/>
      <c r="J338" s="881"/>
      <c r="K338" s="809"/>
      <c r="L338" s="795"/>
      <c r="M338" s="782"/>
    </row>
    <row r="339" spans="1:13" ht="13" customHeight="1" x14ac:dyDescent="0.35">
      <c r="A339" s="908"/>
      <c r="B339" s="795"/>
      <c r="C339" s="802"/>
      <c r="D339" s="880"/>
      <c r="E339" s="830"/>
      <c r="F339" s="830"/>
      <c r="G339" s="830"/>
      <c r="H339" s="830"/>
      <c r="I339" s="830"/>
      <c r="J339" s="881"/>
      <c r="K339" s="809"/>
      <c r="L339" s="795"/>
      <c r="M339" s="782"/>
    </row>
    <row r="340" spans="1:13" ht="13" customHeight="1" x14ac:dyDescent="0.35">
      <c r="A340" s="908"/>
      <c r="B340" s="795"/>
      <c r="C340" s="802"/>
      <c r="D340" s="880"/>
      <c r="E340" s="830"/>
      <c r="F340" s="830"/>
      <c r="G340" s="830"/>
      <c r="H340" s="830"/>
      <c r="I340" s="830"/>
      <c r="J340" s="881"/>
      <c r="K340" s="809"/>
      <c r="L340" s="795"/>
      <c r="M340" s="782"/>
    </row>
    <row r="341" spans="1:13" ht="13" customHeight="1" x14ac:dyDescent="0.35">
      <c r="A341" s="908"/>
      <c r="B341" s="795"/>
      <c r="C341" s="802"/>
      <c r="D341" s="880"/>
      <c r="E341" s="830"/>
      <c r="F341" s="830"/>
      <c r="G341" s="830"/>
      <c r="H341" s="830"/>
      <c r="I341" s="830"/>
      <c r="J341" s="881"/>
      <c r="K341" s="809"/>
      <c r="L341" s="795"/>
      <c r="M341" s="782"/>
    </row>
    <row r="342" spans="1:13" ht="13" customHeight="1" x14ac:dyDescent="0.35">
      <c r="A342" s="908"/>
      <c r="B342" s="795"/>
      <c r="C342" s="802"/>
      <c r="D342" s="880"/>
      <c r="E342" s="830"/>
      <c r="F342" s="830"/>
      <c r="G342" s="830"/>
      <c r="H342" s="830"/>
      <c r="I342" s="830"/>
      <c r="J342" s="881"/>
      <c r="K342" s="809"/>
      <c r="L342" s="795"/>
      <c r="M342" s="782"/>
    </row>
    <row r="343" spans="1:13" ht="13" customHeight="1" x14ac:dyDescent="0.35">
      <c r="A343" s="908"/>
      <c r="B343" s="795"/>
      <c r="C343" s="802"/>
      <c r="D343" s="880"/>
      <c r="E343" s="830"/>
      <c r="F343" s="830"/>
      <c r="G343" s="830"/>
      <c r="H343" s="830"/>
      <c r="I343" s="830"/>
      <c r="J343" s="881"/>
      <c r="K343" s="809"/>
      <c r="L343" s="795"/>
      <c r="M343" s="782"/>
    </row>
    <row r="344" spans="1:13" ht="13" customHeight="1" x14ac:dyDescent="0.35">
      <c r="A344" s="908"/>
      <c r="B344" s="795"/>
      <c r="C344" s="802"/>
      <c r="D344" s="880"/>
      <c r="E344" s="830"/>
      <c r="F344" s="830"/>
      <c r="G344" s="830"/>
      <c r="H344" s="830"/>
      <c r="I344" s="830"/>
      <c r="J344" s="881"/>
      <c r="K344" s="809"/>
      <c r="L344" s="795"/>
      <c r="M344" s="782"/>
    </row>
    <row r="345" spans="1:13" ht="13" customHeight="1" x14ac:dyDescent="0.35">
      <c r="A345" s="908"/>
      <c r="B345" s="795"/>
      <c r="C345" s="802"/>
      <c r="D345" s="880"/>
      <c r="E345" s="830"/>
      <c r="F345" s="830"/>
      <c r="G345" s="830"/>
      <c r="H345" s="830"/>
      <c r="I345" s="830"/>
      <c r="J345" s="881"/>
      <c r="K345" s="809"/>
      <c r="L345" s="795"/>
      <c r="M345" s="782"/>
    </row>
    <row r="346" spans="1:13" ht="13" customHeight="1" x14ac:dyDescent="0.35">
      <c r="A346" s="908"/>
      <c r="B346" s="795"/>
      <c r="C346" s="802"/>
      <c r="D346" s="880"/>
      <c r="E346" s="830"/>
      <c r="F346" s="830"/>
      <c r="G346" s="830"/>
      <c r="H346" s="830"/>
      <c r="I346" s="830"/>
      <c r="J346" s="881"/>
      <c r="K346" s="809"/>
      <c r="L346" s="795"/>
      <c r="M346" s="782"/>
    </row>
    <row r="347" spans="1:13" ht="13" customHeight="1" x14ac:dyDescent="0.35">
      <c r="A347" s="908"/>
      <c r="B347" s="795"/>
      <c r="C347" s="802"/>
      <c r="D347" s="882"/>
      <c r="E347" s="883"/>
      <c r="F347" s="883"/>
      <c r="G347" s="883"/>
      <c r="H347" s="883"/>
      <c r="I347" s="883"/>
      <c r="J347" s="884"/>
      <c r="K347" s="809"/>
      <c r="L347" s="795"/>
      <c r="M347" s="782"/>
    </row>
    <row r="348" spans="1:13" ht="16" customHeight="1" x14ac:dyDescent="0.35">
      <c r="A348" s="908"/>
      <c r="B348" s="795"/>
      <c r="C348" s="802"/>
      <c r="D348" s="831" t="str">
        <f>$D$78</f>
        <v xml:space="preserve"> Key financials</v>
      </c>
      <c r="E348" s="885" t="str">
        <f>FinYearR05</f>
        <v>12/2019</v>
      </c>
      <c r="F348" s="889">
        <f>F316</f>
        <v>-20</v>
      </c>
      <c r="G348" s="890">
        <f>G316</f>
        <v>-10</v>
      </c>
      <c r="H348" s="890">
        <f>H316</f>
        <v>0</v>
      </c>
      <c r="I348" s="890">
        <f>I316</f>
        <v>10</v>
      </c>
      <c r="J348" s="891">
        <f>J316</f>
        <v>20</v>
      </c>
      <c r="K348" s="809"/>
      <c r="L348" s="795"/>
      <c r="M348" s="782"/>
    </row>
    <row r="349" spans="1:13" ht="16" customHeight="1" x14ac:dyDescent="0.35">
      <c r="A349" s="908"/>
      <c r="B349" s="795"/>
      <c r="C349" s="802"/>
      <c r="D349" s="831" t="str">
        <f>" "&amp;INDEX(RatiosDD,Analysis05Ratio01)</f>
        <v xml:space="preserve"> EBITDA; Operating income before depreciation, Euro</v>
      </c>
      <c r="E349" s="836"/>
      <c r="F349" s="840" t="s">
        <v>45</v>
      </c>
      <c r="G349" s="841"/>
      <c r="H349" s="841"/>
      <c r="I349" s="841"/>
      <c r="J349" s="842"/>
      <c r="K349" s="809"/>
      <c r="L349" s="795"/>
      <c r="M349" s="782"/>
    </row>
    <row r="350" spans="1:13" ht="16" customHeight="1" x14ac:dyDescent="0.35">
      <c r="A350" s="908"/>
      <c r="B350" s="795"/>
      <c r="C350" s="802"/>
      <c r="D350" s="831" t="str">
        <f>" "&amp;INDEX(RatiosDD,Analysis05Ratio02)</f>
        <v xml:space="preserve"> EBITDA, %</v>
      </c>
      <c r="E350" s="836"/>
      <c r="F350" s="864"/>
      <c r="G350" s="865"/>
      <c r="H350" s="865"/>
      <c r="I350" s="865"/>
      <c r="J350" s="866"/>
      <c r="K350" s="809"/>
      <c r="L350" s="795"/>
      <c r="M350" s="782"/>
    </row>
    <row r="351" spans="1:13" ht="16" customHeight="1" x14ac:dyDescent="0.35">
      <c r="A351" s="908"/>
      <c r="B351" s="795"/>
      <c r="C351" s="802"/>
      <c r="D351" s="831" t="str">
        <f>" "&amp;INDEX(RatiosDD,Analysis05Ratio03)</f>
        <v xml:space="preserve"> EBIT; Operating income, Euro</v>
      </c>
      <c r="E351" s="836"/>
      <c r="F351" s="837"/>
      <c r="G351" s="838"/>
      <c r="H351" s="838"/>
      <c r="I351" s="838"/>
      <c r="J351" s="839"/>
      <c r="K351" s="809"/>
      <c r="L351" s="795"/>
      <c r="M351" s="782"/>
    </row>
    <row r="352" spans="1:13" ht="16" customHeight="1" x14ac:dyDescent="0.35">
      <c r="A352" s="908"/>
      <c r="B352" s="795"/>
      <c r="C352" s="802"/>
      <c r="D352" s="831" t="str">
        <f>" "&amp;INDEX(RatiosDD,Analysis05Ratio04)</f>
        <v xml:space="preserve"> EBIT, %</v>
      </c>
      <c r="E352" s="836"/>
      <c r="F352" s="840"/>
      <c r="G352" s="841"/>
      <c r="H352" s="841"/>
      <c r="I352" s="841"/>
      <c r="J352" s="842"/>
      <c r="K352" s="809"/>
      <c r="L352" s="795"/>
      <c r="M352" s="782"/>
    </row>
    <row r="353" spans="1:13" ht="16" customHeight="1" x14ac:dyDescent="0.35">
      <c r="A353" s="908"/>
      <c r="B353" s="795"/>
      <c r="C353" s="802"/>
      <c r="D353" s="831" t="str">
        <f>" "&amp;INDEX(RatiosDD,Analysis05Ratio05)</f>
        <v xml:space="preserve"> Return on net assets (RONA), %</v>
      </c>
      <c r="E353" s="836"/>
      <c r="F353" s="840"/>
      <c r="G353" s="841"/>
      <c r="H353" s="841"/>
      <c r="I353" s="841"/>
      <c r="J353" s="842"/>
      <c r="K353" s="809"/>
      <c r="L353" s="795"/>
      <c r="M353" s="782"/>
    </row>
    <row r="354" spans="1:13" ht="16" customHeight="1" x14ac:dyDescent="0.35">
      <c r="A354" s="908"/>
      <c r="B354" s="795"/>
      <c r="C354" s="802"/>
      <c r="D354" s="831" t="str">
        <f>" "&amp;INDEX(RatiosDD,Analysis05Ratio06)</f>
        <v xml:space="preserve"> Economic Value Added (EVA), Euro</v>
      </c>
      <c r="E354" s="836"/>
      <c r="F354" s="837"/>
      <c r="G354" s="838"/>
      <c r="H354" s="838"/>
      <c r="I354" s="838"/>
      <c r="J354" s="839"/>
      <c r="K354" s="809"/>
      <c r="L354" s="795"/>
      <c r="M354" s="782"/>
    </row>
    <row r="355" spans="1:13" ht="5.15" customHeight="1" x14ac:dyDescent="0.35">
      <c r="A355" s="908"/>
      <c r="B355" s="795"/>
      <c r="C355" s="843"/>
      <c r="D355" s="844"/>
      <c r="E355" s="844"/>
      <c r="F355" s="844"/>
      <c r="G355" s="844"/>
      <c r="H355" s="844"/>
      <c r="I355" s="844"/>
      <c r="J355" s="844"/>
      <c r="K355" s="845"/>
      <c r="L355" s="795"/>
      <c r="M355" s="782"/>
    </row>
    <row r="356" spans="1:13" ht="5.15" customHeight="1" x14ac:dyDescent="0.35">
      <c r="A356" s="908"/>
      <c r="B356" s="795"/>
      <c r="C356" s="795"/>
      <c r="D356" s="795"/>
      <c r="E356" s="795"/>
      <c r="F356" s="795"/>
      <c r="G356" s="795"/>
      <c r="H356" s="795"/>
      <c r="I356" s="795"/>
      <c r="J356" s="795"/>
      <c r="K356" s="795"/>
      <c r="L356" s="795"/>
      <c r="M356" s="782"/>
    </row>
    <row r="357" spans="1:13" ht="15.5" x14ac:dyDescent="0.35">
      <c r="A357" s="908"/>
      <c r="B357" s="282"/>
      <c r="C357" s="282"/>
      <c r="D357" s="282"/>
      <c r="E357" s="282"/>
      <c r="F357" s="282"/>
      <c r="G357" s="282"/>
      <c r="H357" s="282"/>
      <c r="I357" s="282"/>
      <c r="J357" s="282"/>
      <c r="K357" s="282"/>
      <c r="L357" s="282"/>
      <c r="M357" s="782"/>
    </row>
    <row r="358" spans="1:13" ht="5.15" customHeight="1" x14ac:dyDescent="0.35">
      <c r="A358" s="908"/>
      <c r="B358" s="282"/>
      <c r="C358" s="282"/>
      <c r="D358" s="282"/>
      <c r="E358" s="282"/>
      <c r="F358" s="282"/>
      <c r="G358" s="282"/>
      <c r="H358" s="282"/>
      <c r="I358" s="282"/>
      <c r="J358" s="282"/>
      <c r="K358" s="282"/>
      <c r="L358" s="282"/>
      <c r="M358" s="782"/>
    </row>
    <row r="359" spans="1:13" ht="15" customHeight="1" x14ac:dyDescent="0.35">
      <c r="A359" s="908" t="s">
        <v>5227</v>
      </c>
      <c r="B359" s="795"/>
      <c r="C359" s="796" t="str">
        <f>$C$221&amp;" 4"</f>
        <v>Variable´s impact on profitability 4</v>
      </c>
      <c r="D359" s="797"/>
      <c r="E359" s="797"/>
      <c r="F359" s="797"/>
      <c r="G359" s="797"/>
      <c r="H359" s="797"/>
      <c r="I359" s="797"/>
      <c r="J359" s="797"/>
      <c r="K359" s="798"/>
      <c r="L359" s="795"/>
      <c r="M359" s="782"/>
    </row>
    <row r="360" spans="1:13" ht="5.15" customHeight="1" x14ac:dyDescent="0.35">
      <c r="A360" s="908"/>
      <c r="B360" s="795"/>
      <c r="C360" s="867"/>
      <c r="D360" s="868"/>
      <c r="E360" s="868"/>
      <c r="F360" s="788">
        <f ca="1">1+(OFFSET(F360,2,0)/100)</f>
        <v>0.8</v>
      </c>
      <c r="G360" s="788">
        <f ca="1">(1+(OFFSET(G360,2,0)/100))/F360</f>
        <v>1.125</v>
      </c>
      <c r="H360" s="869"/>
      <c r="I360" s="788">
        <f ca="1">(1+(OFFSET(I360,2,0)/100))/(1+(OFFSET(G360,2,0)/100))</f>
        <v>1.2222222222222223</v>
      </c>
      <c r="J360" s="788">
        <f ca="1">(1+(OFFSET(J360,2,0)/100))/(1+(OFFSET(I360,2,0)/100))</f>
        <v>1.0909090909090908</v>
      </c>
      <c r="K360" s="870"/>
      <c r="L360" s="795"/>
      <c r="M360" s="782"/>
    </row>
    <row r="361" spans="1:13" ht="16" customHeight="1" x14ac:dyDescent="0.35">
      <c r="A361" s="908"/>
      <c r="B361" s="795"/>
      <c r="C361" s="802"/>
      <c r="D361" s="831" t="str">
        <f>$D$223</f>
        <v xml:space="preserve"> Variable</v>
      </c>
      <c r="E361" s="896"/>
      <c r="F361" s="831" t="str">
        <f ca="1">" "&amp;OFFSET(VarListAnalysis!$C$1,IncVar4,0)</f>
        <v xml:space="preserve"> &lt; Not in use &gt;</v>
      </c>
      <c r="G361" s="897"/>
      <c r="H361" s="897"/>
      <c r="I361" s="897"/>
      <c r="J361" s="836"/>
      <c r="K361" s="809"/>
      <c r="L361" s="795"/>
      <c r="M361" s="898" t="str">
        <f ca="1">VarRowsTxt</f>
        <v>Show row numbers</v>
      </c>
    </row>
    <row r="362" spans="1:13" ht="15" customHeight="1" x14ac:dyDescent="0.35">
      <c r="A362" s="908"/>
      <c r="B362" s="795"/>
      <c r="C362" s="802"/>
      <c r="D362" s="847" t="str">
        <f>$D$224</f>
        <v xml:space="preserve"> Change in value, %</v>
      </c>
      <c r="E362" s="909"/>
      <c r="F362" s="899">
        <v>-20</v>
      </c>
      <c r="G362" s="900">
        <v>-10</v>
      </c>
      <c r="H362" s="901">
        <v>0</v>
      </c>
      <c r="I362" s="900">
        <v>10</v>
      </c>
      <c r="J362" s="902">
        <v>20</v>
      </c>
      <c r="K362" s="809"/>
      <c r="L362" s="795"/>
      <c r="M362" s="782"/>
    </row>
    <row r="363" spans="1:13" ht="16" customHeight="1" x14ac:dyDescent="0.35">
      <c r="A363" s="908"/>
      <c r="B363" s="795"/>
      <c r="C363" s="802"/>
      <c r="D363" s="903" t="str">
        <f>$D$225</f>
        <v xml:space="preserve"> Sample value</v>
      </c>
      <c r="E363" s="904"/>
      <c r="F363" s="905">
        <f>$H363*(1+F362/100)</f>
        <v>0</v>
      </c>
      <c r="G363" s="906">
        <f>$H363*(1+G362/100)</f>
        <v>0</v>
      </c>
      <c r="H363" s="906">
        <f>IF(ISERROR(Specs!$B$12),0,Specs!$B$12)</f>
        <v>0</v>
      </c>
      <c r="I363" s="906">
        <f>$H363*(1+I362/100)</f>
        <v>0</v>
      </c>
      <c r="J363" s="907">
        <f>$H363*(1+J362/100)</f>
        <v>0</v>
      </c>
      <c r="K363" s="809"/>
      <c r="L363" s="795"/>
      <c r="M363" s="782"/>
    </row>
    <row r="364" spans="1:13" ht="16" customHeight="1" x14ac:dyDescent="0.35">
      <c r="A364" s="908"/>
      <c r="B364" s="795"/>
      <c r="C364" s="802"/>
      <c r="D364" s="816" t="str">
        <f>$D$48</f>
        <v xml:space="preserve"> Net Present Value (NPV)</v>
      </c>
      <c r="E364" s="854"/>
      <c r="F364" s="1226">
        <v>0</v>
      </c>
      <c r="G364" s="1227">
        <v>0</v>
      </c>
      <c r="H364" s="1228">
        <v>0</v>
      </c>
      <c r="I364" s="1229">
        <v>0</v>
      </c>
      <c r="J364" s="1230">
        <v>0</v>
      </c>
      <c r="K364" s="809"/>
      <c r="L364" s="795"/>
      <c r="M364" s="782"/>
    </row>
    <row r="365" spans="1:13" ht="15.5" hidden="1" x14ac:dyDescent="0.35">
      <c r="A365" s="908"/>
      <c r="B365" s="795"/>
      <c r="C365" s="802"/>
      <c r="D365" s="818"/>
      <c r="E365" s="855"/>
      <c r="F365" s="820"/>
      <c r="G365" s="647"/>
      <c r="H365" s="647"/>
      <c r="I365" s="647"/>
      <c r="J365" s="821"/>
      <c r="K365" s="809"/>
      <c r="L365" s="795"/>
      <c r="M365" s="782"/>
    </row>
    <row r="366" spans="1:13" ht="15.5" hidden="1" x14ac:dyDescent="0.35">
      <c r="A366" s="908"/>
      <c r="B366" s="795"/>
      <c r="C366" s="802"/>
      <c r="D366" s="818"/>
      <c r="E366" s="855"/>
      <c r="F366" s="856"/>
      <c r="G366" s="650"/>
      <c r="H366" s="650"/>
      <c r="I366" s="650"/>
      <c r="J366" s="857"/>
      <c r="K366" s="809"/>
      <c r="L366" s="795"/>
      <c r="M366" s="782"/>
    </row>
    <row r="367" spans="1:13" ht="15.5" hidden="1" x14ac:dyDescent="0.35">
      <c r="A367" s="908"/>
      <c r="B367" s="795"/>
      <c r="C367" s="802"/>
      <c r="D367" s="818"/>
      <c r="E367" s="855"/>
      <c r="F367" s="856"/>
      <c r="G367" s="650"/>
      <c r="H367" s="650"/>
      <c r="I367" s="650"/>
      <c r="J367" s="857"/>
      <c r="K367" s="809"/>
      <c r="L367" s="795"/>
      <c r="M367" s="782"/>
    </row>
    <row r="368" spans="1:13" ht="15.5" hidden="1" x14ac:dyDescent="0.35">
      <c r="A368" s="908"/>
      <c r="B368" s="795"/>
      <c r="C368" s="802"/>
      <c r="D368" s="818"/>
      <c r="E368" s="855"/>
      <c r="F368" s="856"/>
      <c r="G368" s="650"/>
      <c r="H368" s="650"/>
      <c r="I368" s="650"/>
      <c r="J368" s="857"/>
      <c r="K368" s="809"/>
      <c r="L368" s="795"/>
      <c r="M368" s="782"/>
    </row>
    <row r="369" spans="1:13" ht="15.5" hidden="1" x14ac:dyDescent="0.35">
      <c r="A369" s="908"/>
      <c r="B369" s="795"/>
      <c r="C369" s="802"/>
      <c r="D369" s="818"/>
      <c r="E369" s="855"/>
      <c r="F369" s="822"/>
      <c r="G369" s="649"/>
      <c r="H369" s="649"/>
      <c r="I369" s="649"/>
      <c r="J369" s="823"/>
      <c r="K369" s="809"/>
      <c r="L369" s="795"/>
      <c r="M369" s="782"/>
    </row>
    <row r="370" spans="1:13" ht="15.5" hidden="1" x14ac:dyDescent="0.35">
      <c r="A370" s="908"/>
      <c r="B370" s="795"/>
      <c r="C370" s="802"/>
      <c r="D370" s="818"/>
      <c r="E370" s="855"/>
      <c r="F370" s="820"/>
      <c r="G370" s="647"/>
      <c r="H370" s="647"/>
      <c r="I370" s="647"/>
      <c r="J370" s="821"/>
      <c r="K370" s="809"/>
      <c r="L370" s="795"/>
      <c r="M370" s="782"/>
    </row>
    <row r="371" spans="1:13" ht="15.5" hidden="1" x14ac:dyDescent="0.35">
      <c r="A371" s="908"/>
      <c r="B371" s="795"/>
      <c r="C371" s="802"/>
      <c r="D371" s="818"/>
      <c r="E371" s="855"/>
      <c r="F371" s="824"/>
      <c r="G371" s="651"/>
      <c r="H371" s="651"/>
      <c r="I371" s="651"/>
      <c r="J371" s="825"/>
      <c r="K371" s="809"/>
      <c r="L371" s="795"/>
      <c r="M371" s="782"/>
    </row>
    <row r="372" spans="1:13" ht="15.5" hidden="1" x14ac:dyDescent="0.35">
      <c r="A372" s="908"/>
      <c r="B372" s="795"/>
      <c r="C372" s="802"/>
      <c r="D372" s="818"/>
      <c r="E372" s="855"/>
      <c r="F372" s="824"/>
      <c r="G372" s="651"/>
      <c r="H372" s="651"/>
      <c r="I372" s="651"/>
      <c r="J372" s="825"/>
      <c r="K372" s="809"/>
      <c r="L372" s="795"/>
      <c r="M372" s="782"/>
    </row>
    <row r="373" spans="1:13" ht="15.5" hidden="1" x14ac:dyDescent="0.35">
      <c r="A373" s="908"/>
      <c r="B373" s="795"/>
      <c r="C373" s="802"/>
      <c r="D373" s="818"/>
      <c r="E373" s="855"/>
      <c r="F373" s="820"/>
      <c r="G373" s="647"/>
      <c r="H373" s="647"/>
      <c r="I373" s="647"/>
      <c r="J373" s="821"/>
      <c r="K373" s="809"/>
      <c r="L373" s="795"/>
      <c r="M373" s="782"/>
    </row>
    <row r="374" spans="1:13" ht="15.5" hidden="1" x14ac:dyDescent="0.35">
      <c r="A374" s="908"/>
      <c r="B374" s="795"/>
      <c r="C374" s="802"/>
      <c r="D374" s="818"/>
      <c r="E374" s="855"/>
      <c r="F374" s="856"/>
      <c r="G374" s="650"/>
      <c r="H374" s="650"/>
      <c r="I374" s="650"/>
      <c r="J374" s="857"/>
      <c r="K374" s="809"/>
      <c r="L374" s="795"/>
      <c r="M374" s="782"/>
    </row>
    <row r="375" spans="1:13" ht="15.5" hidden="1" x14ac:dyDescent="0.35">
      <c r="A375" s="908"/>
      <c r="B375" s="795"/>
      <c r="C375" s="802"/>
      <c r="D375" s="818"/>
      <c r="E375" s="855"/>
      <c r="F375" s="856"/>
      <c r="G375" s="650"/>
      <c r="H375" s="650"/>
      <c r="I375" s="650"/>
      <c r="J375" s="857"/>
      <c r="K375" s="809"/>
      <c r="L375" s="795"/>
      <c r="M375" s="782"/>
    </row>
    <row r="376" spans="1:13" ht="15.5" hidden="1" x14ac:dyDescent="0.35">
      <c r="A376" s="908"/>
      <c r="B376" s="795"/>
      <c r="C376" s="802"/>
      <c r="D376" s="818"/>
      <c r="E376" s="855"/>
      <c r="F376" s="856"/>
      <c r="G376" s="650"/>
      <c r="H376" s="650"/>
      <c r="I376" s="650"/>
      <c r="J376" s="857"/>
      <c r="K376" s="809"/>
      <c r="L376" s="795"/>
      <c r="M376" s="782"/>
    </row>
    <row r="377" spans="1:13" ht="15.5" hidden="1" x14ac:dyDescent="0.35">
      <c r="A377" s="908"/>
      <c r="B377" s="795"/>
      <c r="C377" s="802"/>
      <c r="D377" s="818"/>
      <c r="E377" s="855"/>
      <c r="F377" s="824"/>
      <c r="G377" s="651"/>
      <c r="H377" s="651"/>
      <c r="I377" s="651"/>
      <c r="J377" s="825"/>
      <c r="K377" s="809"/>
      <c r="L377" s="795"/>
      <c r="M377" s="782"/>
    </row>
    <row r="378" spans="1:13" ht="15.5" hidden="1" x14ac:dyDescent="0.35">
      <c r="A378" s="908"/>
      <c r="B378" s="795"/>
      <c r="C378" s="802"/>
      <c r="D378" s="818"/>
      <c r="E378" s="855"/>
      <c r="F378" s="824"/>
      <c r="G378" s="651"/>
      <c r="H378" s="651"/>
      <c r="I378" s="651"/>
      <c r="J378" s="825"/>
      <c r="K378" s="809"/>
      <c r="L378" s="795"/>
      <c r="M378" s="782"/>
    </row>
    <row r="379" spans="1:13" ht="14.15" customHeight="1" x14ac:dyDescent="0.35">
      <c r="A379" s="908"/>
      <c r="B379" s="795"/>
      <c r="C379" s="802"/>
      <c r="D379" s="826" t="str">
        <f>$D$6</f>
        <v xml:space="preserve"> Change, %</v>
      </c>
      <c r="E379" s="827"/>
      <c r="F379" s="812">
        <f>IF(AND(ISNUMBER(F364),ISNUMBER($H364)),(F364-$H364)/IF($H364=0,0.00001,ABS($H364))*100,"")</f>
        <v>0</v>
      </c>
      <c r="G379" s="813">
        <f>IF(AND(ISNUMBER(G364),ISNUMBER($H364)),(G364-$H364)/IF($H364=0,0.00001,ABS($H364))*100,"")</f>
        <v>0</v>
      </c>
      <c r="H379" s="813">
        <v>0</v>
      </c>
      <c r="I379" s="813">
        <f>IF(AND(ISNUMBER(I364),ISNUMBER($H364)),(I364-$H364)/IF($H364=0,0.00001,ABS($H364))*100,"")</f>
        <v>0</v>
      </c>
      <c r="J379" s="815">
        <f>IF(AND(ISNUMBER(J364),ISNUMBER($H364)),(J364-$H364)/IF($H364=0,0.00001,ABS($H364))*100,"")</f>
        <v>0</v>
      </c>
      <c r="K379" s="809"/>
      <c r="L379" s="795"/>
      <c r="M379" s="782"/>
    </row>
    <row r="380" spans="1:13" ht="13" customHeight="1" x14ac:dyDescent="0.35">
      <c r="A380" s="908"/>
      <c r="B380" s="795"/>
      <c r="C380" s="802"/>
      <c r="D380" s="877"/>
      <c r="E380" s="878"/>
      <c r="F380" s="878"/>
      <c r="G380" s="878"/>
      <c r="H380" s="878"/>
      <c r="I380" s="878"/>
      <c r="J380" s="879"/>
      <c r="K380" s="809"/>
      <c r="L380" s="795"/>
      <c r="M380" s="782"/>
    </row>
    <row r="381" spans="1:13" ht="13" customHeight="1" x14ac:dyDescent="0.35">
      <c r="A381" s="908"/>
      <c r="B381" s="795"/>
      <c r="C381" s="802"/>
      <c r="D381" s="880"/>
      <c r="E381" s="830"/>
      <c r="F381" s="830"/>
      <c r="G381" s="830"/>
      <c r="H381" s="830"/>
      <c r="I381" s="830"/>
      <c r="J381" s="881"/>
      <c r="K381" s="809"/>
      <c r="L381" s="795"/>
      <c r="M381" s="782"/>
    </row>
    <row r="382" spans="1:13" ht="13" customHeight="1" x14ac:dyDescent="0.35">
      <c r="A382" s="908"/>
      <c r="B382" s="795"/>
      <c r="C382" s="802"/>
      <c r="D382" s="880"/>
      <c r="E382" s="830"/>
      <c r="F382" s="830"/>
      <c r="G382" s="830"/>
      <c r="H382" s="830"/>
      <c r="I382" s="830"/>
      <c r="J382" s="881"/>
      <c r="K382" s="809"/>
      <c r="L382" s="795"/>
      <c r="M382" s="782"/>
    </row>
    <row r="383" spans="1:13" ht="13" customHeight="1" x14ac:dyDescent="0.35">
      <c r="A383" s="908"/>
      <c r="B383" s="795"/>
      <c r="C383" s="802"/>
      <c r="D383" s="880"/>
      <c r="E383" s="830"/>
      <c r="F383" s="830"/>
      <c r="G383" s="830"/>
      <c r="H383" s="830"/>
      <c r="I383" s="830"/>
      <c r="J383" s="881"/>
      <c r="K383" s="809"/>
      <c r="L383" s="795"/>
      <c r="M383" s="782"/>
    </row>
    <row r="384" spans="1:13" ht="13" customHeight="1" x14ac:dyDescent="0.35">
      <c r="A384" s="908"/>
      <c r="B384" s="795"/>
      <c r="C384" s="802"/>
      <c r="D384" s="880"/>
      <c r="E384" s="830"/>
      <c r="F384" s="830"/>
      <c r="G384" s="830"/>
      <c r="H384" s="830"/>
      <c r="I384" s="830"/>
      <c r="J384" s="881"/>
      <c r="K384" s="809"/>
      <c r="L384" s="795"/>
      <c r="M384" s="782"/>
    </row>
    <row r="385" spans="1:13" ht="13" customHeight="1" x14ac:dyDescent="0.35">
      <c r="A385" s="908"/>
      <c r="B385" s="795"/>
      <c r="C385" s="802"/>
      <c r="D385" s="880"/>
      <c r="E385" s="830"/>
      <c r="F385" s="830"/>
      <c r="G385" s="830"/>
      <c r="H385" s="830"/>
      <c r="I385" s="830"/>
      <c r="J385" s="881"/>
      <c r="K385" s="809"/>
      <c r="L385" s="795"/>
      <c r="M385" s="782"/>
    </row>
    <row r="386" spans="1:13" ht="13" customHeight="1" x14ac:dyDescent="0.35">
      <c r="A386" s="908"/>
      <c r="B386" s="795"/>
      <c r="C386" s="802"/>
      <c r="D386" s="880"/>
      <c r="E386" s="830"/>
      <c r="F386" s="830"/>
      <c r="G386" s="830"/>
      <c r="H386" s="830"/>
      <c r="I386" s="830"/>
      <c r="J386" s="881"/>
      <c r="K386" s="809"/>
      <c r="L386" s="795"/>
      <c r="M386" s="782"/>
    </row>
    <row r="387" spans="1:13" ht="13" customHeight="1" x14ac:dyDescent="0.35">
      <c r="A387" s="908"/>
      <c r="B387" s="795"/>
      <c r="C387" s="802"/>
      <c r="D387" s="880"/>
      <c r="E387" s="830"/>
      <c r="F387" s="830"/>
      <c r="G387" s="830"/>
      <c r="H387" s="830"/>
      <c r="I387" s="830"/>
      <c r="J387" s="881"/>
      <c r="K387" s="809"/>
      <c r="L387" s="795"/>
      <c r="M387" s="782"/>
    </row>
    <row r="388" spans="1:13" ht="13" customHeight="1" x14ac:dyDescent="0.35">
      <c r="A388" s="908"/>
      <c r="B388" s="795"/>
      <c r="C388" s="802"/>
      <c r="D388" s="880"/>
      <c r="E388" s="830"/>
      <c r="F388" s="830"/>
      <c r="G388" s="830"/>
      <c r="H388" s="830"/>
      <c r="I388" s="830"/>
      <c r="J388" s="881"/>
      <c r="K388" s="809"/>
      <c r="L388" s="795"/>
      <c r="M388" s="782"/>
    </row>
    <row r="389" spans="1:13" ht="13" customHeight="1" x14ac:dyDescent="0.35">
      <c r="A389" s="908"/>
      <c r="B389" s="795"/>
      <c r="C389" s="802"/>
      <c r="D389" s="880"/>
      <c r="E389" s="830"/>
      <c r="F389" s="830"/>
      <c r="G389" s="830"/>
      <c r="H389" s="830"/>
      <c r="I389" s="830"/>
      <c r="J389" s="881"/>
      <c r="K389" s="809"/>
      <c r="L389" s="795"/>
      <c r="M389" s="782"/>
    </row>
    <row r="390" spans="1:13" ht="13" customHeight="1" x14ac:dyDescent="0.35">
      <c r="A390" s="908"/>
      <c r="B390" s="795"/>
      <c r="C390" s="802"/>
      <c r="D390" s="880"/>
      <c r="E390" s="830"/>
      <c r="F390" s="830"/>
      <c r="G390" s="830"/>
      <c r="H390" s="830"/>
      <c r="I390" s="830"/>
      <c r="J390" s="881"/>
      <c r="K390" s="809"/>
      <c r="L390" s="795"/>
      <c r="M390" s="782"/>
    </row>
    <row r="391" spans="1:13" ht="13" customHeight="1" x14ac:dyDescent="0.35">
      <c r="A391" s="908"/>
      <c r="B391" s="795"/>
      <c r="C391" s="802"/>
      <c r="D391" s="880"/>
      <c r="E391" s="830"/>
      <c r="F391" s="830"/>
      <c r="G391" s="830"/>
      <c r="H391" s="830"/>
      <c r="I391" s="830"/>
      <c r="J391" s="881"/>
      <c r="K391" s="809"/>
      <c r="L391" s="795"/>
      <c r="M391" s="782"/>
    </row>
    <row r="392" spans="1:13" ht="13" customHeight="1" x14ac:dyDescent="0.35">
      <c r="A392" s="908"/>
      <c r="B392" s="795"/>
      <c r="C392" s="802"/>
      <c r="D392" s="880"/>
      <c r="E392" s="830"/>
      <c r="F392" s="830"/>
      <c r="G392" s="830"/>
      <c r="H392" s="830"/>
      <c r="I392" s="830"/>
      <c r="J392" s="881"/>
      <c r="K392" s="809"/>
      <c r="L392" s="795"/>
      <c r="M392" s="782"/>
    </row>
    <row r="393" spans="1:13" ht="13" customHeight="1" x14ac:dyDescent="0.35">
      <c r="A393" s="908"/>
      <c r="B393" s="795"/>
      <c r="C393" s="802"/>
      <c r="D393" s="882"/>
      <c r="E393" s="883"/>
      <c r="F393" s="883"/>
      <c r="G393" s="883"/>
      <c r="H393" s="883"/>
      <c r="I393" s="883"/>
      <c r="J393" s="884"/>
      <c r="K393" s="809"/>
      <c r="L393" s="795"/>
      <c r="M393" s="782"/>
    </row>
    <row r="394" spans="1:13" ht="16" customHeight="1" x14ac:dyDescent="0.35">
      <c r="A394" s="908"/>
      <c r="B394" s="795"/>
      <c r="C394" s="802"/>
      <c r="D394" s="831" t="str">
        <f>$D$78</f>
        <v xml:space="preserve"> Key financials</v>
      </c>
      <c r="E394" s="885" t="str">
        <f>FinYearR05</f>
        <v>12/2019</v>
      </c>
      <c r="F394" s="889">
        <f>F362</f>
        <v>-20</v>
      </c>
      <c r="G394" s="890">
        <f>G362</f>
        <v>-10</v>
      </c>
      <c r="H394" s="890">
        <f>H362</f>
        <v>0</v>
      </c>
      <c r="I394" s="890">
        <f>I362</f>
        <v>10</v>
      </c>
      <c r="J394" s="891">
        <f>J362</f>
        <v>20</v>
      </c>
      <c r="K394" s="809"/>
      <c r="L394" s="795"/>
      <c r="M394" s="782"/>
    </row>
    <row r="395" spans="1:13" ht="16" customHeight="1" x14ac:dyDescent="0.35">
      <c r="A395" s="908"/>
      <c r="B395" s="795"/>
      <c r="C395" s="802"/>
      <c r="D395" s="831" t="str">
        <f>" "&amp;INDEX(RatiosDD,Analysis05Ratio01)</f>
        <v xml:space="preserve"> EBITDA; Operating income before depreciation, Euro</v>
      </c>
      <c r="E395" s="836"/>
      <c r="F395" s="840" t="s">
        <v>45</v>
      </c>
      <c r="G395" s="841"/>
      <c r="H395" s="841"/>
      <c r="I395" s="841"/>
      <c r="J395" s="842"/>
      <c r="K395" s="809"/>
      <c r="L395" s="795"/>
      <c r="M395" s="782"/>
    </row>
    <row r="396" spans="1:13" ht="16" customHeight="1" x14ac:dyDescent="0.35">
      <c r="A396" s="908"/>
      <c r="B396" s="795"/>
      <c r="C396" s="802"/>
      <c r="D396" s="831" t="str">
        <f>" "&amp;INDEX(RatiosDD,Analysis05Ratio02)</f>
        <v xml:space="preserve"> EBITDA, %</v>
      </c>
      <c r="E396" s="836"/>
      <c r="F396" s="864"/>
      <c r="G396" s="865"/>
      <c r="H396" s="865"/>
      <c r="I396" s="865"/>
      <c r="J396" s="866"/>
      <c r="K396" s="809"/>
      <c r="L396" s="795"/>
      <c r="M396" s="782"/>
    </row>
    <row r="397" spans="1:13" ht="16" customHeight="1" x14ac:dyDescent="0.35">
      <c r="A397" s="908"/>
      <c r="B397" s="795"/>
      <c r="C397" s="802"/>
      <c r="D397" s="831" t="str">
        <f>" "&amp;INDEX(RatiosDD,Analysis05Ratio03)</f>
        <v xml:space="preserve"> EBIT; Operating income, Euro</v>
      </c>
      <c r="E397" s="836"/>
      <c r="F397" s="837"/>
      <c r="G397" s="838"/>
      <c r="H397" s="838"/>
      <c r="I397" s="838"/>
      <c r="J397" s="839"/>
      <c r="K397" s="809"/>
      <c r="L397" s="795"/>
      <c r="M397" s="782"/>
    </row>
    <row r="398" spans="1:13" ht="16" customHeight="1" x14ac:dyDescent="0.35">
      <c r="A398" s="908"/>
      <c r="B398" s="795"/>
      <c r="C398" s="802"/>
      <c r="D398" s="831" t="str">
        <f>" "&amp;INDEX(RatiosDD,Analysis05Ratio04)</f>
        <v xml:space="preserve"> EBIT, %</v>
      </c>
      <c r="E398" s="836"/>
      <c r="F398" s="840"/>
      <c r="G398" s="841"/>
      <c r="H398" s="841"/>
      <c r="I398" s="841"/>
      <c r="J398" s="842"/>
      <c r="K398" s="809"/>
      <c r="L398" s="795"/>
      <c r="M398" s="782"/>
    </row>
    <row r="399" spans="1:13" ht="16" customHeight="1" x14ac:dyDescent="0.35">
      <c r="A399" s="908"/>
      <c r="B399" s="795"/>
      <c r="C399" s="802"/>
      <c r="D399" s="831" t="str">
        <f>" "&amp;INDEX(RatiosDD,Analysis05Ratio05)</f>
        <v xml:space="preserve"> Return on net assets (RONA), %</v>
      </c>
      <c r="E399" s="836"/>
      <c r="F399" s="840"/>
      <c r="G399" s="841"/>
      <c r="H399" s="841"/>
      <c r="I399" s="841"/>
      <c r="J399" s="842"/>
      <c r="K399" s="809"/>
      <c r="L399" s="795"/>
      <c r="M399" s="782"/>
    </row>
    <row r="400" spans="1:13" ht="16" customHeight="1" x14ac:dyDescent="0.35">
      <c r="A400" s="908"/>
      <c r="B400" s="795"/>
      <c r="C400" s="802"/>
      <c r="D400" s="831" t="str">
        <f>" "&amp;INDEX(RatiosDD,Analysis05Ratio06)</f>
        <v xml:space="preserve"> Economic Value Added (EVA), Euro</v>
      </c>
      <c r="E400" s="836"/>
      <c r="F400" s="837"/>
      <c r="G400" s="838"/>
      <c r="H400" s="838"/>
      <c r="I400" s="838"/>
      <c r="J400" s="839"/>
      <c r="K400" s="809"/>
      <c r="L400" s="795"/>
      <c r="M400" s="782"/>
    </row>
    <row r="401" spans="1:13" ht="5.15" customHeight="1" x14ac:dyDescent="0.35">
      <c r="A401" s="908"/>
      <c r="B401" s="795"/>
      <c r="C401" s="843"/>
      <c r="D401" s="844"/>
      <c r="E401" s="844"/>
      <c r="F401" s="844"/>
      <c r="G401" s="844"/>
      <c r="H401" s="844"/>
      <c r="I401" s="844"/>
      <c r="J401" s="844"/>
      <c r="K401" s="845"/>
      <c r="L401" s="795"/>
      <c r="M401" s="782"/>
    </row>
    <row r="402" spans="1:13" ht="5.15" customHeight="1" x14ac:dyDescent="0.35">
      <c r="A402" s="908"/>
      <c r="B402" s="795"/>
      <c r="C402" s="795"/>
      <c r="D402" s="795"/>
      <c r="E402" s="795"/>
      <c r="F402" s="795"/>
      <c r="G402" s="795"/>
      <c r="H402" s="795"/>
      <c r="I402" s="795"/>
      <c r="J402" s="795"/>
      <c r="K402" s="795"/>
      <c r="L402" s="795"/>
      <c r="M402" s="782"/>
    </row>
    <row r="403" spans="1:13" ht="15.5" x14ac:dyDescent="0.35">
      <c r="A403" s="908"/>
      <c r="B403" s="282"/>
      <c r="C403" s="282"/>
      <c r="D403" s="282"/>
      <c r="E403" s="282"/>
      <c r="F403" s="282"/>
      <c r="G403" s="282"/>
      <c r="H403" s="282"/>
      <c r="I403" s="282"/>
      <c r="J403" s="282"/>
      <c r="K403" s="282"/>
      <c r="L403" s="282"/>
      <c r="M403" s="782"/>
    </row>
    <row r="404" spans="1:13" ht="5.15" customHeight="1" x14ac:dyDescent="0.35">
      <c r="A404" s="908"/>
      <c r="B404" s="282"/>
      <c r="C404" s="282"/>
      <c r="D404" s="282"/>
      <c r="E404" s="282"/>
      <c r="F404" s="282"/>
      <c r="G404" s="282"/>
      <c r="H404" s="282"/>
      <c r="I404" s="282"/>
      <c r="J404" s="282"/>
      <c r="K404" s="282"/>
      <c r="L404" s="282"/>
      <c r="M404" s="782"/>
    </row>
    <row r="405" spans="1:13" ht="15" customHeight="1" x14ac:dyDescent="0.35">
      <c r="A405" s="908" t="s">
        <v>5228</v>
      </c>
      <c r="B405" s="795"/>
      <c r="C405" s="796" t="str">
        <f>$C$221&amp;" 5"</f>
        <v>Variable´s impact on profitability 5</v>
      </c>
      <c r="D405" s="797"/>
      <c r="E405" s="797"/>
      <c r="F405" s="797"/>
      <c r="G405" s="797"/>
      <c r="H405" s="797"/>
      <c r="I405" s="797"/>
      <c r="J405" s="797"/>
      <c r="K405" s="798"/>
      <c r="L405" s="795"/>
      <c r="M405" s="782"/>
    </row>
    <row r="406" spans="1:13" ht="5.15" customHeight="1" x14ac:dyDescent="0.35">
      <c r="A406" s="908"/>
      <c r="B406" s="795"/>
      <c r="C406" s="867"/>
      <c r="D406" s="868"/>
      <c r="E406" s="868"/>
      <c r="F406" s="788">
        <f ca="1">1+(OFFSET(F406,2,0)/100)</f>
        <v>0.8</v>
      </c>
      <c r="G406" s="788">
        <f ca="1">(1+(OFFSET(G406,2,0)/100))/F406</f>
        <v>1.125</v>
      </c>
      <c r="H406" s="869"/>
      <c r="I406" s="788">
        <f ca="1">(1+(OFFSET(I406,2,0)/100))/(1+(OFFSET(G406,2,0)/100))</f>
        <v>1.2222222222222223</v>
      </c>
      <c r="J406" s="788">
        <f ca="1">(1+(OFFSET(J406,2,0)/100))/(1+(OFFSET(I406,2,0)/100))</f>
        <v>1.0909090909090908</v>
      </c>
      <c r="K406" s="870"/>
      <c r="L406" s="795"/>
      <c r="M406" s="782"/>
    </row>
    <row r="407" spans="1:13" ht="16" customHeight="1" x14ac:dyDescent="0.35">
      <c r="A407" s="908"/>
      <c r="B407" s="795"/>
      <c r="C407" s="802"/>
      <c r="D407" s="831" t="str">
        <f>$D$223</f>
        <v xml:space="preserve"> Variable</v>
      </c>
      <c r="E407" s="896"/>
      <c r="F407" s="831" t="str">
        <f ca="1">" "&amp;OFFSET(VarListAnalysis!$C$1,IncVar5,0)</f>
        <v xml:space="preserve"> &lt; Not in use &gt;</v>
      </c>
      <c r="G407" s="897"/>
      <c r="H407" s="897"/>
      <c r="I407" s="897"/>
      <c r="J407" s="836"/>
      <c r="K407" s="809"/>
      <c r="L407" s="795"/>
      <c r="M407" s="898" t="str">
        <f ca="1">VarRowsTxt</f>
        <v>Show row numbers</v>
      </c>
    </row>
    <row r="408" spans="1:13" ht="15" customHeight="1" x14ac:dyDescent="0.35">
      <c r="A408" s="908"/>
      <c r="B408" s="795"/>
      <c r="C408" s="802"/>
      <c r="D408" s="847" t="str">
        <f>$D$224</f>
        <v xml:space="preserve"> Change in value, %</v>
      </c>
      <c r="E408" s="909"/>
      <c r="F408" s="899">
        <v>-20</v>
      </c>
      <c r="G408" s="900">
        <v>-10</v>
      </c>
      <c r="H408" s="901">
        <v>0</v>
      </c>
      <c r="I408" s="900">
        <v>10</v>
      </c>
      <c r="J408" s="902">
        <v>20</v>
      </c>
      <c r="K408" s="809"/>
      <c r="L408" s="795"/>
      <c r="M408" s="782"/>
    </row>
    <row r="409" spans="1:13" ht="16" customHeight="1" x14ac:dyDescent="0.35">
      <c r="A409" s="908"/>
      <c r="B409" s="795"/>
      <c r="C409" s="802"/>
      <c r="D409" s="903" t="str">
        <f>$D$225</f>
        <v xml:space="preserve"> Sample value</v>
      </c>
      <c r="E409" s="904"/>
      <c r="F409" s="905">
        <f>$H409*(1+F408/100)</f>
        <v>0</v>
      </c>
      <c r="G409" s="906">
        <f>$H409*(1+G408/100)</f>
        <v>0</v>
      </c>
      <c r="H409" s="906">
        <f>IF(ISERROR(Specs!$B$12),0,Specs!$B$12)</f>
        <v>0</v>
      </c>
      <c r="I409" s="906">
        <f>$H409*(1+I408/100)</f>
        <v>0</v>
      </c>
      <c r="J409" s="907">
        <f>$H409*(1+J408/100)</f>
        <v>0</v>
      </c>
      <c r="K409" s="809"/>
      <c r="L409" s="795"/>
      <c r="M409" s="782"/>
    </row>
    <row r="410" spans="1:13" ht="16" customHeight="1" x14ac:dyDescent="0.35">
      <c r="A410" s="908"/>
      <c r="B410" s="795"/>
      <c r="C410" s="802"/>
      <c r="D410" s="816" t="str">
        <f>$D$48</f>
        <v xml:space="preserve"> Net Present Value (NPV)</v>
      </c>
      <c r="E410" s="854"/>
      <c r="F410" s="1226">
        <v>0</v>
      </c>
      <c r="G410" s="1227">
        <v>0</v>
      </c>
      <c r="H410" s="1228">
        <v>0</v>
      </c>
      <c r="I410" s="1229">
        <v>0</v>
      </c>
      <c r="J410" s="1230">
        <v>0</v>
      </c>
      <c r="K410" s="809"/>
      <c r="L410" s="795"/>
      <c r="M410" s="782"/>
    </row>
    <row r="411" spans="1:13" ht="15.5" hidden="1" x14ac:dyDescent="0.35">
      <c r="A411" s="908"/>
      <c r="B411" s="795"/>
      <c r="C411" s="802"/>
      <c r="D411" s="818"/>
      <c r="E411" s="855"/>
      <c r="F411" s="820"/>
      <c r="G411" s="647"/>
      <c r="H411" s="647"/>
      <c r="I411" s="647"/>
      <c r="J411" s="821"/>
      <c r="K411" s="809"/>
      <c r="L411" s="795"/>
      <c r="M411" s="782"/>
    </row>
    <row r="412" spans="1:13" ht="15.5" hidden="1" x14ac:dyDescent="0.35">
      <c r="A412" s="908"/>
      <c r="B412" s="795"/>
      <c r="C412" s="802"/>
      <c r="D412" s="818"/>
      <c r="E412" s="855"/>
      <c r="F412" s="856"/>
      <c r="G412" s="650"/>
      <c r="H412" s="650"/>
      <c r="I412" s="650"/>
      <c r="J412" s="857"/>
      <c r="K412" s="809"/>
      <c r="L412" s="795"/>
      <c r="M412" s="782"/>
    </row>
    <row r="413" spans="1:13" ht="15.5" hidden="1" x14ac:dyDescent="0.35">
      <c r="A413" s="908"/>
      <c r="B413" s="795"/>
      <c r="C413" s="802"/>
      <c r="D413" s="818"/>
      <c r="E413" s="855"/>
      <c r="F413" s="856"/>
      <c r="G413" s="650"/>
      <c r="H413" s="650"/>
      <c r="I413" s="650"/>
      <c r="J413" s="857"/>
      <c r="K413" s="809"/>
      <c r="L413" s="795"/>
      <c r="M413" s="782"/>
    </row>
    <row r="414" spans="1:13" ht="15.5" hidden="1" x14ac:dyDescent="0.35">
      <c r="A414" s="908"/>
      <c r="B414" s="795"/>
      <c r="C414" s="802"/>
      <c r="D414" s="818"/>
      <c r="E414" s="855"/>
      <c r="F414" s="856"/>
      <c r="G414" s="650"/>
      <c r="H414" s="650"/>
      <c r="I414" s="650"/>
      <c r="J414" s="857"/>
      <c r="K414" s="809"/>
      <c r="L414" s="795"/>
      <c r="M414" s="782"/>
    </row>
    <row r="415" spans="1:13" ht="15.5" hidden="1" x14ac:dyDescent="0.35">
      <c r="A415" s="908"/>
      <c r="B415" s="795"/>
      <c r="C415" s="802"/>
      <c r="D415" s="818"/>
      <c r="E415" s="855"/>
      <c r="F415" s="822"/>
      <c r="G415" s="649"/>
      <c r="H415" s="649"/>
      <c r="I415" s="649"/>
      <c r="J415" s="823"/>
      <c r="K415" s="809"/>
      <c r="L415" s="795"/>
      <c r="M415" s="782"/>
    </row>
    <row r="416" spans="1:13" ht="15.5" hidden="1" x14ac:dyDescent="0.35">
      <c r="A416" s="908"/>
      <c r="B416" s="795"/>
      <c r="C416" s="802"/>
      <c r="D416" s="818"/>
      <c r="E416" s="855"/>
      <c r="F416" s="820"/>
      <c r="G416" s="647"/>
      <c r="H416" s="647"/>
      <c r="I416" s="647"/>
      <c r="J416" s="821"/>
      <c r="K416" s="809"/>
      <c r="L416" s="795"/>
      <c r="M416" s="782"/>
    </row>
    <row r="417" spans="1:13" ht="15.5" hidden="1" x14ac:dyDescent="0.35">
      <c r="A417" s="908"/>
      <c r="B417" s="795"/>
      <c r="C417" s="802"/>
      <c r="D417" s="818"/>
      <c r="E417" s="855"/>
      <c r="F417" s="824"/>
      <c r="G417" s="651"/>
      <c r="H417" s="651"/>
      <c r="I417" s="651"/>
      <c r="J417" s="825"/>
      <c r="K417" s="809"/>
      <c r="L417" s="795"/>
      <c r="M417" s="782"/>
    </row>
    <row r="418" spans="1:13" ht="15.5" hidden="1" x14ac:dyDescent="0.35">
      <c r="A418" s="908"/>
      <c r="B418" s="795"/>
      <c r="C418" s="802"/>
      <c r="D418" s="818"/>
      <c r="E418" s="855"/>
      <c r="F418" s="824"/>
      <c r="G418" s="651"/>
      <c r="H418" s="651"/>
      <c r="I418" s="651"/>
      <c r="J418" s="825"/>
      <c r="K418" s="809"/>
      <c r="L418" s="795"/>
      <c r="M418" s="782"/>
    </row>
    <row r="419" spans="1:13" ht="15.5" hidden="1" x14ac:dyDescent="0.35">
      <c r="A419" s="908"/>
      <c r="B419" s="795"/>
      <c r="C419" s="802"/>
      <c r="D419" s="818"/>
      <c r="E419" s="855"/>
      <c r="F419" s="820"/>
      <c r="G419" s="647"/>
      <c r="H419" s="647"/>
      <c r="I419" s="647"/>
      <c r="J419" s="821"/>
      <c r="K419" s="809"/>
      <c r="L419" s="795"/>
      <c r="M419" s="782"/>
    </row>
    <row r="420" spans="1:13" ht="15.5" hidden="1" x14ac:dyDescent="0.35">
      <c r="A420" s="908"/>
      <c r="B420" s="795"/>
      <c r="C420" s="802"/>
      <c r="D420" s="818"/>
      <c r="E420" s="855"/>
      <c r="F420" s="856"/>
      <c r="G420" s="650"/>
      <c r="H420" s="650"/>
      <c r="I420" s="650"/>
      <c r="J420" s="857"/>
      <c r="K420" s="809"/>
      <c r="L420" s="795"/>
      <c r="M420" s="782"/>
    </row>
    <row r="421" spans="1:13" ht="15.5" hidden="1" x14ac:dyDescent="0.35">
      <c r="A421" s="908"/>
      <c r="B421" s="795"/>
      <c r="C421" s="802"/>
      <c r="D421" s="818"/>
      <c r="E421" s="855"/>
      <c r="F421" s="856"/>
      <c r="G421" s="650"/>
      <c r="H421" s="650"/>
      <c r="I421" s="650"/>
      <c r="J421" s="857"/>
      <c r="K421" s="809"/>
      <c r="L421" s="795"/>
      <c r="M421" s="782"/>
    </row>
    <row r="422" spans="1:13" ht="15.5" hidden="1" x14ac:dyDescent="0.35">
      <c r="A422" s="908"/>
      <c r="B422" s="795"/>
      <c r="C422" s="802"/>
      <c r="D422" s="818"/>
      <c r="E422" s="855"/>
      <c r="F422" s="856"/>
      <c r="G422" s="650"/>
      <c r="H422" s="650"/>
      <c r="I422" s="650"/>
      <c r="J422" s="857"/>
      <c r="K422" s="809"/>
      <c r="L422" s="795"/>
      <c r="M422" s="782"/>
    </row>
    <row r="423" spans="1:13" ht="15.5" hidden="1" x14ac:dyDescent="0.35">
      <c r="A423" s="908"/>
      <c r="B423" s="795"/>
      <c r="C423" s="802"/>
      <c r="D423" s="818"/>
      <c r="E423" s="855"/>
      <c r="F423" s="824"/>
      <c r="G423" s="651"/>
      <c r="H423" s="651"/>
      <c r="I423" s="651"/>
      <c r="J423" s="825"/>
      <c r="K423" s="809"/>
      <c r="L423" s="795"/>
      <c r="M423" s="782"/>
    </row>
    <row r="424" spans="1:13" ht="15.5" hidden="1" x14ac:dyDescent="0.35">
      <c r="A424" s="908"/>
      <c r="B424" s="795"/>
      <c r="C424" s="802"/>
      <c r="D424" s="818"/>
      <c r="E424" s="855"/>
      <c r="F424" s="824"/>
      <c r="G424" s="651"/>
      <c r="H424" s="651"/>
      <c r="I424" s="651"/>
      <c r="J424" s="825"/>
      <c r="K424" s="809"/>
      <c r="L424" s="795"/>
      <c r="M424" s="782"/>
    </row>
    <row r="425" spans="1:13" ht="14.15" customHeight="1" x14ac:dyDescent="0.35">
      <c r="A425" s="908"/>
      <c r="B425" s="795"/>
      <c r="C425" s="802"/>
      <c r="D425" s="826" t="str">
        <f>$D$6</f>
        <v xml:space="preserve"> Change, %</v>
      </c>
      <c r="E425" s="827"/>
      <c r="F425" s="812">
        <f>IF(AND(ISNUMBER(F410),ISNUMBER($H410)),(F410-$H410)/IF($H410=0,0.00001,ABS($H410))*100,"")</f>
        <v>0</v>
      </c>
      <c r="G425" s="813">
        <f>IF(AND(ISNUMBER(G410),ISNUMBER($H410)),(G410-$H410)/IF($H410=0,0.00001,ABS($H410))*100,"")</f>
        <v>0</v>
      </c>
      <c r="H425" s="813">
        <v>0</v>
      </c>
      <c r="I425" s="813">
        <f>IF(AND(ISNUMBER(I410),ISNUMBER($H410)),(I410-$H410)/IF($H410=0,0.00001,ABS($H410))*100,"")</f>
        <v>0</v>
      </c>
      <c r="J425" s="815">
        <f>IF(AND(ISNUMBER(J410),ISNUMBER($H410)),(J410-$H410)/IF($H410=0,0.00001,ABS($H410))*100,"")</f>
        <v>0</v>
      </c>
      <c r="K425" s="809"/>
      <c r="L425" s="795"/>
      <c r="M425" s="782"/>
    </row>
    <row r="426" spans="1:13" ht="13" customHeight="1" x14ac:dyDescent="0.35">
      <c r="A426" s="908"/>
      <c r="B426" s="795"/>
      <c r="C426" s="802"/>
      <c r="D426" s="877"/>
      <c r="E426" s="878"/>
      <c r="F426" s="878"/>
      <c r="G426" s="878"/>
      <c r="H426" s="878"/>
      <c r="I426" s="878"/>
      <c r="J426" s="879"/>
      <c r="K426" s="809"/>
      <c r="L426" s="795"/>
      <c r="M426" s="782"/>
    </row>
    <row r="427" spans="1:13" ht="13" customHeight="1" x14ac:dyDescent="0.35">
      <c r="A427" s="908"/>
      <c r="B427" s="795"/>
      <c r="C427" s="802"/>
      <c r="D427" s="880"/>
      <c r="E427" s="830"/>
      <c r="F427" s="830"/>
      <c r="G427" s="830"/>
      <c r="H427" s="830"/>
      <c r="I427" s="830"/>
      <c r="J427" s="881"/>
      <c r="K427" s="809"/>
      <c r="L427" s="795"/>
      <c r="M427" s="782"/>
    </row>
    <row r="428" spans="1:13" ht="13" customHeight="1" x14ac:dyDescent="0.35">
      <c r="A428" s="908"/>
      <c r="B428" s="795"/>
      <c r="C428" s="802"/>
      <c r="D428" s="880"/>
      <c r="E428" s="830"/>
      <c r="F428" s="830"/>
      <c r="G428" s="830"/>
      <c r="H428" s="830"/>
      <c r="I428" s="830"/>
      <c r="J428" s="881"/>
      <c r="K428" s="809"/>
      <c r="L428" s="795"/>
      <c r="M428" s="782"/>
    </row>
    <row r="429" spans="1:13" ht="13" customHeight="1" x14ac:dyDescent="0.35">
      <c r="A429" s="908"/>
      <c r="B429" s="795"/>
      <c r="C429" s="802"/>
      <c r="D429" s="880"/>
      <c r="E429" s="830"/>
      <c r="F429" s="830"/>
      <c r="G429" s="830"/>
      <c r="H429" s="830"/>
      <c r="I429" s="830"/>
      <c r="J429" s="881"/>
      <c r="K429" s="809"/>
      <c r="L429" s="795"/>
      <c r="M429" s="782"/>
    </row>
    <row r="430" spans="1:13" ht="13" customHeight="1" x14ac:dyDescent="0.35">
      <c r="A430" s="908"/>
      <c r="B430" s="795"/>
      <c r="C430" s="802"/>
      <c r="D430" s="880"/>
      <c r="E430" s="830"/>
      <c r="F430" s="830"/>
      <c r="G430" s="830"/>
      <c r="H430" s="830"/>
      <c r="I430" s="830"/>
      <c r="J430" s="881"/>
      <c r="K430" s="809"/>
      <c r="L430" s="795"/>
      <c r="M430" s="782"/>
    </row>
    <row r="431" spans="1:13" ht="13" customHeight="1" x14ac:dyDescent="0.35">
      <c r="A431" s="908"/>
      <c r="B431" s="795"/>
      <c r="C431" s="802"/>
      <c r="D431" s="880"/>
      <c r="E431" s="830"/>
      <c r="F431" s="830"/>
      <c r="G431" s="830"/>
      <c r="H431" s="830"/>
      <c r="I431" s="830"/>
      <c r="J431" s="881"/>
      <c r="K431" s="809"/>
      <c r="L431" s="795"/>
      <c r="M431" s="782"/>
    </row>
    <row r="432" spans="1:13" ht="13" customHeight="1" x14ac:dyDescent="0.35">
      <c r="A432" s="908"/>
      <c r="B432" s="795"/>
      <c r="C432" s="802"/>
      <c r="D432" s="880"/>
      <c r="E432" s="830"/>
      <c r="F432" s="830"/>
      <c r="G432" s="830"/>
      <c r="H432" s="830"/>
      <c r="I432" s="830"/>
      <c r="J432" s="881"/>
      <c r="K432" s="809"/>
      <c r="L432" s="795"/>
      <c r="M432" s="782"/>
    </row>
    <row r="433" spans="1:13" ht="13" customHeight="1" x14ac:dyDescent="0.35">
      <c r="A433" s="908"/>
      <c r="B433" s="795"/>
      <c r="C433" s="802"/>
      <c r="D433" s="880"/>
      <c r="E433" s="830"/>
      <c r="F433" s="830"/>
      <c r="G433" s="830"/>
      <c r="H433" s="830"/>
      <c r="I433" s="830"/>
      <c r="J433" s="881"/>
      <c r="K433" s="809"/>
      <c r="L433" s="795"/>
      <c r="M433" s="782"/>
    </row>
    <row r="434" spans="1:13" ht="13" customHeight="1" x14ac:dyDescent="0.35">
      <c r="A434" s="908"/>
      <c r="B434" s="795"/>
      <c r="C434" s="802"/>
      <c r="D434" s="880"/>
      <c r="E434" s="830"/>
      <c r="F434" s="830"/>
      <c r="G434" s="830"/>
      <c r="H434" s="830"/>
      <c r="I434" s="830"/>
      <c r="J434" s="881"/>
      <c r="K434" s="809"/>
      <c r="L434" s="795"/>
      <c r="M434" s="782"/>
    </row>
    <row r="435" spans="1:13" ht="13" customHeight="1" x14ac:dyDescent="0.35">
      <c r="A435" s="908"/>
      <c r="B435" s="795"/>
      <c r="C435" s="802"/>
      <c r="D435" s="880"/>
      <c r="E435" s="830"/>
      <c r="F435" s="830"/>
      <c r="G435" s="830"/>
      <c r="H435" s="830"/>
      <c r="I435" s="830"/>
      <c r="J435" s="881"/>
      <c r="K435" s="809"/>
      <c r="L435" s="795"/>
      <c r="M435" s="782"/>
    </row>
    <row r="436" spans="1:13" ht="13" customHeight="1" x14ac:dyDescent="0.35">
      <c r="A436" s="908"/>
      <c r="B436" s="795"/>
      <c r="C436" s="802"/>
      <c r="D436" s="880"/>
      <c r="E436" s="830"/>
      <c r="F436" s="830"/>
      <c r="G436" s="830"/>
      <c r="H436" s="830"/>
      <c r="I436" s="830"/>
      <c r="J436" s="881"/>
      <c r="K436" s="809"/>
      <c r="L436" s="795"/>
      <c r="M436" s="782"/>
    </row>
    <row r="437" spans="1:13" ht="13" customHeight="1" x14ac:dyDescent="0.35">
      <c r="A437" s="908"/>
      <c r="B437" s="795"/>
      <c r="C437" s="802"/>
      <c r="D437" s="880"/>
      <c r="E437" s="830"/>
      <c r="F437" s="830"/>
      <c r="G437" s="830"/>
      <c r="H437" s="830"/>
      <c r="I437" s="830"/>
      <c r="J437" s="881"/>
      <c r="K437" s="809"/>
      <c r="L437" s="795"/>
      <c r="M437" s="782"/>
    </row>
    <row r="438" spans="1:13" ht="13" customHeight="1" x14ac:dyDescent="0.35">
      <c r="A438" s="908"/>
      <c r="B438" s="795"/>
      <c r="C438" s="802"/>
      <c r="D438" s="880"/>
      <c r="E438" s="830"/>
      <c r="F438" s="830"/>
      <c r="G438" s="830"/>
      <c r="H438" s="830"/>
      <c r="I438" s="830"/>
      <c r="J438" s="881"/>
      <c r="K438" s="809"/>
      <c r="L438" s="795"/>
      <c r="M438" s="782"/>
    </row>
    <row r="439" spans="1:13" ht="13" customHeight="1" x14ac:dyDescent="0.35">
      <c r="A439" s="908"/>
      <c r="B439" s="795"/>
      <c r="C439" s="802"/>
      <c r="D439" s="882"/>
      <c r="E439" s="883"/>
      <c r="F439" s="883"/>
      <c r="G439" s="883"/>
      <c r="H439" s="883"/>
      <c r="I439" s="883"/>
      <c r="J439" s="884"/>
      <c r="K439" s="809"/>
      <c r="L439" s="795"/>
      <c r="M439" s="782"/>
    </row>
    <row r="440" spans="1:13" ht="16" customHeight="1" x14ac:dyDescent="0.35">
      <c r="A440" s="908"/>
      <c r="B440" s="795"/>
      <c r="C440" s="802"/>
      <c r="D440" s="831" t="str">
        <f>$D$78</f>
        <v xml:space="preserve"> Key financials</v>
      </c>
      <c r="E440" s="885" t="str">
        <f>FinYearR05</f>
        <v>12/2019</v>
      </c>
      <c r="F440" s="889">
        <f>F408</f>
        <v>-20</v>
      </c>
      <c r="G440" s="890">
        <f>G408</f>
        <v>-10</v>
      </c>
      <c r="H440" s="890">
        <f>H408</f>
        <v>0</v>
      </c>
      <c r="I440" s="890">
        <f>I408</f>
        <v>10</v>
      </c>
      <c r="J440" s="891">
        <f>J408</f>
        <v>20</v>
      </c>
      <c r="K440" s="809"/>
      <c r="L440" s="795"/>
      <c r="M440" s="782"/>
    </row>
    <row r="441" spans="1:13" ht="16" customHeight="1" x14ac:dyDescent="0.35">
      <c r="A441" s="908"/>
      <c r="B441" s="795"/>
      <c r="C441" s="802"/>
      <c r="D441" s="831" t="str">
        <f>" "&amp;INDEX(RatiosDD,Analysis05Ratio01)</f>
        <v xml:space="preserve"> EBITDA; Operating income before depreciation, Euro</v>
      </c>
      <c r="E441" s="836"/>
      <c r="F441" s="840" t="s">
        <v>45</v>
      </c>
      <c r="G441" s="841"/>
      <c r="H441" s="841"/>
      <c r="I441" s="841"/>
      <c r="J441" s="842"/>
      <c r="K441" s="809"/>
      <c r="L441" s="795"/>
      <c r="M441" s="782"/>
    </row>
    <row r="442" spans="1:13" ht="16" customHeight="1" x14ac:dyDescent="0.35">
      <c r="A442" s="908"/>
      <c r="B442" s="795"/>
      <c r="C442" s="802"/>
      <c r="D442" s="831" t="str">
        <f>" "&amp;INDEX(RatiosDD,Analysis05Ratio02)</f>
        <v xml:space="preserve"> EBITDA, %</v>
      </c>
      <c r="E442" s="836"/>
      <c r="F442" s="864"/>
      <c r="G442" s="865"/>
      <c r="H442" s="865"/>
      <c r="I442" s="865"/>
      <c r="J442" s="866"/>
      <c r="K442" s="809"/>
      <c r="L442" s="795"/>
      <c r="M442" s="782"/>
    </row>
    <row r="443" spans="1:13" ht="16" customHeight="1" x14ac:dyDescent="0.35">
      <c r="A443" s="908"/>
      <c r="B443" s="795"/>
      <c r="C443" s="802"/>
      <c r="D443" s="831" t="str">
        <f>" "&amp;INDEX(RatiosDD,Analysis05Ratio03)</f>
        <v xml:space="preserve"> EBIT; Operating income, Euro</v>
      </c>
      <c r="E443" s="836"/>
      <c r="F443" s="837"/>
      <c r="G443" s="838"/>
      <c r="H443" s="838"/>
      <c r="I443" s="838"/>
      <c r="J443" s="839"/>
      <c r="K443" s="809"/>
      <c r="L443" s="795"/>
      <c r="M443" s="782"/>
    </row>
    <row r="444" spans="1:13" ht="16" customHeight="1" x14ac:dyDescent="0.35">
      <c r="A444" s="908"/>
      <c r="B444" s="795"/>
      <c r="C444" s="802"/>
      <c r="D444" s="831" t="str">
        <f>" "&amp;INDEX(RatiosDD,Analysis05Ratio04)</f>
        <v xml:space="preserve"> EBIT, %</v>
      </c>
      <c r="E444" s="836"/>
      <c r="F444" s="840"/>
      <c r="G444" s="841"/>
      <c r="H444" s="841"/>
      <c r="I444" s="841"/>
      <c r="J444" s="842"/>
      <c r="K444" s="809"/>
      <c r="L444" s="795"/>
      <c r="M444" s="782"/>
    </row>
    <row r="445" spans="1:13" ht="16" customHeight="1" x14ac:dyDescent="0.35">
      <c r="A445" s="908"/>
      <c r="B445" s="795"/>
      <c r="C445" s="802"/>
      <c r="D445" s="831" t="str">
        <f>" "&amp;INDEX(RatiosDD,Analysis05Ratio05)</f>
        <v xml:space="preserve"> Return on net assets (RONA), %</v>
      </c>
      <c r="E445" s="836"/>
      <c r="F445" s="840"/>
      <c r="G445" s="841"/>
      <c r="H445" s="841"/>
      <c r="I445" s="841"/>
      <c r="J445" s="842"/>
      <c r="K445" s="809"/>
      <c r="L445" s="795"/>
      <c r="M445" s="782"/>
    </row>
    <row r="446" spans="1:13" ht="16" customHeight="1" x14ac:dyDescent="0.35">
      <c r="A446" s="908"/>
      <c r="B446" s="795"/>
      <c r="C446" s="802"/>
      <c r="D446" s="831" t="str">
        <f>" "&amp;INDEX(RatiosDD,Analysis05Ratio06)</f>
        <v xml:space="preserve"> Economic Value Added (EVA), Euro</v>
      </c>
      <c r="E446" s="836"/>
      <c r="F446" s="837"/>
      <c r="G446" s="838"/>
      <c r="H446" s="838"/>
      <c r="I446" s="838"/>
      <c r="J446" s="839"/>
      <c r="K446" s="809"/>
      <c r="L446" s="795"/>
      <c r="M446" s="782"/>
    </row>
    <row r="447" spans="1:13" ht="5.15" customHeight="1" x14ac:dyDescent="0.35">
      <c r="A447" s="908"/>
      <c r="B447" s="795"/>
      <c r="C447" s="843"/>
      <c r="D447" s="844"/>
      <c r="E447" s="844"/>
      <c r="F447" s="844"/>
      <c r="G447" s="844"/>
      <c r="H447" s="844"/>
      <c r="I447" s="844"/>
      <c r="J447" s="844"/>
      <c r="K447" s="845"/>
      <c r="L447" s="795"/>
      <c r="M447" s="782"/>
    </row>
    <row r="448" spans="1:13" ht="5.15" customHeight="1" x14ac:dyDescent="0.35">
      <c r="A448" s="908"/>
      <c r="B448" s="795"/>
      <c r="C448" s="795"/>
      <c r="D448" s="795"/>
      <c r="E448" s="795"/>
      <c r="F448" s="795"/>
      <c r="G448" s="795"/>
      <c r="H448" s="795"/>
      <c r="I448" s="795"/>
      <c r="J448" s="795"/>
      <c r="K448" s="795"/>
      <c r="L448" s="795"/>
      <c r="M448" s="782"/>
    </row>
    <row r="449" spans="1:13" ht="15.5" x14ac:dyDescent="0.35">
      <c r="A449" s="908"/>
      <c r="B449" s="282"/>
      <c r="C449" s="282"/>
      <c r="D449" s="282"/>
      <c r="E449" s="282"/>
      <c r="F449" s="282"/>
      <c r="G449" s="282"/>
      <c r="H449" s="282"/>
      <c r="I449" s="282"/>
      <c r="J449" s="282"/>
      <c r="K449" s="282"/>
      <c r="L449" s="282"/>
      <c r="M449" s="782"/>
    </row>
    <row r="450" spans="1:13" ht="5.15" customHeight="1" x14ac:dyDescent="0.35">
      <c r="A450" s="908"/>
      <c r="B450" s="282"/>
      <c r="C450" s="282"/>
      <c r="D450" s="282"/>
      <c r="E450" s="282"/>
      <c r="F450" s="282"/>
      <c r="G450" s="282"/>
      <c r="H450" s="282"/>
      <c r="I450" s="282"/>
      <c r="J450" s="282"/>
      <c r="K450" s="282"/>
      <c r="L450" s="282"/>
      <c r="M450" s="782"/>
    </row>
    <row r="451" spans="1:13" ht="15" customHeight="1" x14ac:dyDescent="0.35">
      <c r="A451" s="908" t="s">
        <v>5229</v>
      </c>
      <c r="B451" s="795"/>
      <c r="C451" s="796" t="str">
        <f>$C$221&amp;" 6"</f>
        <v>Variable´s impact on profitability 6</v>
      </c>
      <c r="D451" s="797"/>
      <c r="E451" s="797"/>
      <c r="F451" s="797"/>
      <c r="G451" s="797"/>
      <c r="H451" s="797"/>
      <c r="I451" s="797"/>
      <c r="J451" s="797"/>
      <c r="K451" s="798"/>
      <c r="L451" s="795"/>
      <c r="M451" s="782"/>
    </row>
    <row r="452" spans="1:13" ht="5.15" customHeight="1" x14ac:dyDescent="0.35">
      <c r="A452" s="908"/>
      <c r="B452" s="795"/>
      <c r="C452" s="867"/>
      <c r="D452" s="868"/>
      <c r="E452" s="868"/>
      <c r="F452" s="788">
        <f ca="1">1+(OFFSET(F452,2,0)/100)</f>
        <v>0.8</v>
      </c>
      <c r="G452" s="788">
        <f ca="1">(1+(OFFSET(G452,2,0)/100))/F452</f>
        <v>1.125</v>
      </c>
      <c r="H452" s="869"/>
      <c r="I452" s="788">
        <f ca="1">(1+(OFFSET(I452,2,0)/100))/(1+(OFFSET(G452,2,0)/100))</f>
        <v>1.2222222222222223</v>
      </c>
      <c r="J452" s="788">
        <f ca="1">(1+(OFFSET(J452,2,0)/100))/(1+(OFFSET(I452,2,0)/100))</f>
        <v>1.0909090909090908</v>
      </c>
      <c r="K452" s="870"/>
      <c r="L452" s="795"/>
      <c r="M452" s="782"/>
    </row>
    <row r="453" spans="1:13" ht="16" customHeight="1" x14ac:dyDescent="0.35">
      <c r="A453" s="908"/>
      <c r="B453" s="795"/>
      <c r="C453" s="802"/>
      <c r="D453" s="895" t="str">
        <f>$D$223</f>
        <v xml:space="preserve"> Variable</v>
      </c>
      <c r="E453" s="896"/>
      <c r="F453" s="831" t="str">
        <f ca="1">" "&amp;OFFSET(VarListAnalysis!$C$1,IncVar6,0)</f>
        <v xml:space="preserve"> &lt; Not in use &gt;</v>
      </c>
      <c r="G453" s="897"/>
      <c r="H453" s="897"/>
      <c r="I453" s="897"/>
      <c r="J453" s="836"/>
      <c r="K453" s="809"/>
      <c r="L453" s="795"/>
      <c r="M453" s="898" t="str">
        <f ca="1">VarRowsTxt</f>
        <v>Show row numbers</v>
      </c>
    </row>
    <row r="454" spans="1:13" ht="15" customHeight="1" x14ac:dyDescent="0.35">
      <c r="A454" s="908"/>
      <c r="B454" s="795"/>
      <c r="C454" s="802"/>
      <c r="D454" s="847" t="str">
        <f>$D$224</f>
        <v xml:space="preserve"> Change in value, %</v>
      </c>
      <c r="E454" s="909"/>
      <c r="F454" s="899">
        <v>-20</v>
      </c>
      <c r="G454" s="900">
        <v>-10</v>
      </c>
      <c r="H454" s="901">
        <v>0</v>
      </c>
      <c r="I454" s="900">
        <v>10</v>
      </c>
      <c r="J454" s="902">
        <v>20</v>
      </c>
      <c r="K454" s="809"/>
      <c r="L454" s="795"/>
      <c r="M454" s="782"/>
    </row>
    <row r="455" spans="1:13" ht="16" customHeight="1" x14ac:dyDescent="0.35">
      <c r="A455" s="908"/>
      <c r="B455" s="795"/>
      <c r="C455" s="802"/>
      <c r="D455" s="903" t="str">
        <f>$D$225</f>
        <v xml:space="preserve"> Sample value</v>
      </c>
      <c r="E455" s="904"/>
      <c r="F455" s="905">
        <f>$H455*(1+F454/100)</f>
        <v>0</v>
      </c>
      <c r="G455" s="906">
        <f>$H455*(1+G454/100)</f>
        <v>0</v>
      </c>
      <c r="H455" s="906">
        <f>IF(ISERROR(Specs!$B$12),0,Specs!$B$12)</f>
        <v>0</v>
      </c>
      <c r="I455" s="906">
        <f>$H455*(1+I454/100)</f>
        <v>0</v>
      </c>
      <c r="J455" s="907">
        <f>$H455*(1+J454/100)</f>
        <v>0</v>
      </c>
      <c r="K455" s="809"/>
      <c r="L455" s="795"/>
      <c r="M455" s="782"/>
    </row>
    <row r="456" spans="1:13" ht="16" customHeight="1" x14ac:dyDescent="0.35">
      <c r="A456" s="908"/>
      <c r="B456" s="795"/>
      <c r="C456" s="802"/>
      <c r="D456" s="816" t="str">
        <f>$D$48</f>
        <v xml:space="preserve"> Net Present Value (NPV)</v>
      </c>
      <c r="E456" s="854"/>
      <c r="F456" s="1226">
        <v>0</v>
      </c>
      <c r="G456" s="1227">
        <v>0</v>
      </c>
      <c r="H456" s="1228">
        <v>0</v>
      </c>
      <c r="I456" s="1229">
        <v>0</v>
      </c>
      <c r="J456" s="1230">
        <v>0</v>
      </c>
      <c r="K456" s="809"/>
      <c r="L456" s="795"/>
      <c r="M456" s="782"/>
    </row>
    <row r="457" spans="1:13" ht="15.5" hidden="1" x14ac:dyDescent="0.35">
      <c r="A457" s="908"/>
      <c r="B457" s="795"/>
      <c r="C457" s="802"/>
      <c r="D457" s="910"/>
      <c r="E457" s="855"/>
      <c r="F457" s="820"/>
      <c r="G457" s="647"/>
      <c r="H457" s="647"/>
      <c r="I457" s="647"/>
      <c r="J457" s="821"/>
      <c r="K457" s="809"/>
      <c r="L457" s="795"/>
      <c r="M457" s="782"/>
    </row>
    <row r="458" spans="1:13" ht="15.5" hidden="1" x14ac:dyDescent="0.35">
      <c r="A458" s="908"/>
      <c r="B458" s="795"/>
      <c r="C458" s="802"/>
      <c r="D458" s="910"/>
      <c r="E458" s="855"/>
      <c r="F458" s="856"/>
      <c r="G458" s="650"/>
      <c r="H458" s="650"/>
      <c r="I458" s="650"/>
      <c r="J458" s="857"/>
      <c r="K458" s="809"/>
      <c r="L458" s="795"/>
      <c r="M458" s="782"/>
    </row>
    <row r="459" spans="1:13" ht="15.5" hidden="1" x14ac:dyDescent="0.35">
      <c r="A459" s="908"/>
      <c r="B459" s="795"/>
      <c r="C459" s="802"/>
      <c r="D459" s="910"/>
      <c r="E459" s="855"/>
      <c r="F459" s="856"/>
      <c r="G459" s="650"/>
      <c r="H459" s="650"/>
      <c r="I459" s="650"/>
      <c r="J459" s="857"/>
      <c r="K459" s="809"/>
      <c r="L459" s="795"/>
      <c r="M459" s="782"/>
    </row>
    <row r="460" spans="1:13" ht="15.5" hidden="1" x14ac:dyDescent="0.35">
      <c r="A460" s="908"/>
      <c r="B460" s="795"/>
      <c r="C460" s="802"/>
      <c r="D460" s="910"/>
      <c r="E460" s="855"/>
      <c r="F460" s="856"/>
      <c r="G460" s="650"/>
      <c r="H460" s="650"/>
      <c r="I460" s="650"/>
      <c r="J460" s="857"/>
      <c r="K460" s="809"/>
      <c r="L460" s="795"/>
      <c r="M460" s="782"/>
    </row>
    <row r="461" spans="1:13" ht="15.5" hidden="1" x14ac:dyDescent="0.35">
      <c r="A461" s="908"/>
      <c r="B461" s="795"/>
      <c r="C461" s="802"/>
      <c r="D461" s="910"/>
      <c r="E461" s="855"/>
      <c r="F461" s="822"/>
      <c r="G461" s="649"/>
      <c r="H461" s="649"/>
      <c r="I461" s="649"/>
      <c r="J461" s="823"/>
      <c r="K461" s="809"/>
      <c r="L461" s="795"/>
      <c r="M461" s="782"/>
    </row>
    <row r="462" spans="1:13" ht="15.5" hidden="1" x14ac:dyDescent="0.35">
      <c r="A462" s="908"/>
      <c r="B462" s="795"/>
      <c r="C462" s="802"/>
      <c r="D462" s="910"/>
      <c r="E462" s="855"/>
      <c r="F462" s="820"/>
      <c r="G462" s="647"/>
      <c r="H462" s="647"/>
      <c r="I462" s="647"/>
      <c r="J462" s="821"/>
      <c r="K462" s="809"/>
      <c r="L462" s="795"/>
      <c r="M462" s="782"/>
    </row>
    <row r="463" spans="1:13" ht="15.5" hidden="1" x14ac:dyDescent="0.35">
      <c r="A463" s="908"/>
      <c r="B463" s="795"/>
      <c r="C463" s="802"/>
      <c r="D463" s="910"/>
      <c r="E463" s="855"/>
      <c r="F463" s="824"/>
      <c r="G463" s="651"/>
      <c r="H463" s="651"/>
      <c r="I463" s="651"/>
      <c r="J463" s="825"/>
      <c r="K463" s="809"/>
      <c r="L463" s="795"/>
      <c r="M463" s="782"/>
    </row>
    <row r="464" spans="1:13" ht="15.5" hidden="1" x14ac:dyDescent="0.35">
      <c r="A464" s="908"/>
      <c r="B464" s="795"/>
      <c r="C464" s="802"/>
      <c r="D464" s="910"/>
      <c r="E464" s="855"/>
      <c r="F464" s="824"/>
      <c r="G464" s="651"/>
      <c r="H464" s="651"/>
      <c r="I464" s="651"/>
      <c r="J464" s="825"/>
      <c r="K464" s="809"/>
      <c r="L464" s="795"/>
      <c r="M464" s="782"/>
    </row>
    <row r="465" spans="1:13" ht="15.5" hidden="1" x14ac:dyDescent="0.35">
      <c r="A465" s="908"/>
      <c r="B465" s="795"/>
      <c r="C465" s="802"/>
      <c r="D465" s="910"/>
      <c r="E465" s="855"/>
      <c r="F465" s="820"/>
      <c r="G465" s="647"/>
      <c r="H465" s="647"/>
      <c r="I465" s="647"/>
      <c r="J465" s="821"/>
      <c r="K465" s="809"/>
      <c r="L465" s="795"/>
      <c r="M465" s="782"/>
    </row>
    <row r="466" spans="1:13" ht="15.5" hidden="1" x14ac:dyDescent="0.35">
      <c r="A466" s="908"/>
      <c r="B466" s="795"/>
      <c r="C466" s="802"/>
      <c r="D466" s="910"/>
      <c r="E466" s="855"/>
      <c r="F466" s="856"/>
      <c r="G466" s="650"/>
      <c r="H466" s="650"/>
      <c r="I466" s="650"/>
      <c r="J466" s="857"/>
      <c r="K466" s="809"/>
      <c r="L466" s="795"/>
      <c r="M466" s="782"/>
    </row>
    <row r="467" spans="1:13" ht="15.5" hidden="1" x14ac:dyDescent="0.35">
      <c r="A467" s="908"/>
      <c r="B467" s="795"/>
      <c r="C467" s="802"/>
      <c r="D467" s="910"/>
      <c r="E467" s="855"/>
      <c r="F467" s="856"/>
      <c r="G467" s="650"/>
      <c r="H467" s="650"/>
      <c r="I467" s="650"/>
      <c r="J467" s="857"/>
      <c r="K467" s="809"/>
      <c r="L467" s="795"/>
      <c r="M467" s="782"/>
    </row>
    <row r="468" spans="1:13" ht="15.5" hidden="1" x14ac:dyDescent="0.35">
      <c r="A468" s="908"/>
      <c r="B468" s="795"/>
      <c r="C468" s="802"/>
      <c r="D468" s="910"/>
      <c r="E468" s="855"/>
      <c r="F468" s="856"/>
      <c r="G468" s="650"/>
      <c r="H468" s="650"/>
      <c r="I468" s="650"/>
      <c r="J468" s="857"/>
      <c r="K468" s="809"/>
      <c r="L468" s="795"/>
      <c r="M468" s="782"/>
    </row>
    <row r="469" spans="1:13" ht="15.5" hidden="1" x14ac:dyDescent="0.35">
      <c r="A469" s="908"/>
      <c r="B469" s="795"/>
      <c r="C469" s="802"/>
      <c r="D469" s="910"/>
      <c r="E469" s="855"/>
      <c r="F469" s="824"/>
      <c r="G469" s="651"/>
      <c r="H469" s="651"/>
      <c r="I469" s="651"/>
      <c r="J469" s="825"/>
      <c r="K469" s="809"/>
      <c r="L469" s="795"/>
      <c r="M469" s="782"/>
    </row>
    <row r="470" spans="1:13" ht="15.5" hidden="1" x14ac:dyDescent="0.35">
      <c r="A470" s="908"/>
      <c r="B470" s="795"/>
      <c r="C470" s="802"/>
      <c r="D470" s="910"/>
      <c r="E470" s="855"/>
      <c r="F470" s="824"/>
      <c r="G470" s="651"/>
      <c r="H470" s="651"/>
      <c r="I470" s="651"/>
      <c r="J470" s="825"/>
      <c r="K470" s="809"/>
      <c r="L470" s="795"/>
      <c r="M470" s="782"/>
    </row>
    <row r="471" spans="1:13" ht="14.15" customHeight="1" x14ac:dyDescent="0.35">
      <c r="A471" s="908"/>
      <c r="B471" s="795"/>
      <c r="C471" s="802"/>
      <c r="D471" s="826" t="str">
        <f>$D$6</f>
        <v xml:space="preserve"> Change, %</v>
      </c>
      <c r="E471" s="827"/>
      <c r="F471" s="812">
        <f>IF(AND(ISNUMBER(F456),ISNUMBER($H456)),(F456-$H456)/IF($H456=0,0.00001,ABS($H456))*100,"")</f>
        <v>0</v>
      </c>
      <c r="G471" s="813">
        <f>IF(AND(ISNUMBER(G456),ISNUMBER($H456)),(G456-$H456)/IF($H456=0,0.00001,ABS($H456))*100,"")</f>
        <v>0</v>
      </c>
      <c r="H471" s="813">
        <v>0</v>
      </c>
      <c r="I471" s="813">
        <f>IF(AND(ISNUMBER(I456),ISNUMBER($H456)),(I456-$H456)/IF($H456=0,0.00001,ABS($H456))*100,"")</f>
        <v>0</v>
      </c>
      <c r="J471" s="815">
        <f>IF(AND(ISNUMBER(J456),ISNUMBER($H456)),(J456-$H456)/IF($H456=0,0.00001,ABS($H456))*100,"")</f>
        <v>0</v>
      </c>
      <c r="K471" s="809"/>
      <c r="L471" s="795"/>
      <c r="M471" s="782"/>
    </row>
    <row r="472" spans="1:13" ht="13" customHeight="1" x14ac:dyDescent="0.35">
      <c r="A472" s="908"/>
      <c r="B472" s="795"/>
      <c r="C472" s="802"/>
      <c r="D472" s="877"/>
      <c r="E472" s="878"/>
      <c r="F472" s="878"/>
      <c r="G472" s="878"/>
      <c r="H472" s="878"/>
      <c r="I472" s="878"/>
      <c r="J472" s="879"/>
      <c r="K472" s="809"/>
      <c r="L472" s="795"/>
      <c r="M472" s="782"/>
    </row>
    <row r="473" spans="1:13" ht="13" customHeight="1" x14ac:dyDescent="0.35">
      <c r="A473" s="908"/>
      <c r="B473" s="795"/>
      <c r="C473" s="802"/>
      <c r="D473" s="880"/>
      <c r="E473" s="830"/>
      <c r="F473" s="830"/>
      <c r="G473" s="830"/>
      <c r="H473" s="830"/>
      <c r="I473" s="830"/>
      <c r="J473" s="881"/>
      <c r="K473" s="809"/>
      <c r="L473" s="795"/>
      <c r="M473" s="782"/>
    </row>
    <row r="474" spans="1:13" ht="13" customHeight="1" x14ac:dyDescent="0.35">
      <c r="A474" s="908"/>
      <c r="B474" s="795"/>
      <c r="C474" s="802"/>
      <c r="D474" s="880"/>
      <c r="E474" s="830"/>
      <c r="F474" s="830"/>
      <c r="G474" s="830"/>
      <c r="H474" s="830"/>
      <c r="I474" s="830"/>
      <c r="J474" s="881"/>
      <c r="K474" s="809"/>
      <c r="L474" s="795"/>
      <c r="M474" s="782"/>
    </row>
    <row r="475" spans="1:13" ht="13" customHeight="1" x14ac:dyDescent="0.35">
      <c r="A475" s="908"/>
      <c r="B475" s="795"/>
      <c r="C475" s="802"/>
      <c r="D475" s="880"/>
      <c r="E475" s="830"/>
      <c r="F475" s="830"/>
      <c r="G475" s="830"/>
      <c r="H475" s="830"/>
      <c r="I475" s="830"/>
      <c r="J475" s="881"/>
      <c r="K475" s="809"/>
      <c r="L475" s="795"/>
      <c r="M475" s="782"/>
    </row>
    <row r="476" spans="1:13" ht="13" customHeight="1" x14ac:dyDescent="0.35">
      <c r="A476" s="908"/>
      <c r="B476" s="795"/>
      <c r="C476" s="802"/>
      <c r="D476" s="880"/>
      <c r="E476" s="830"/>
      <c r="F476" s="830"/>
      <c r="G476" s="830"/>
      <c r="H476" s="830"/>
      <c r="I476" s="830"/>
      <c r="J476" s="881"/>
      <c r="K476" s="809"/>
      <c r="L476" s="795"/>
      <c r="M476" s="782"/>
    </row>
    <row r="477" spans="1:13" ht="13" customHeight="1" x14ac:dyDescent="0.35">
      <c r="A477" s="908"/>
      <c r="B477" s="795"/>
      <c r="C477" s="802"/>
      <c r="D477" s="880"/>
      <c r="E477" s="830"/>
      <c r="F477" s="830"/>
      <c r="G477" s="830"/>
      <c r="H477" s="830"/>
      <c r="I477" s="830"/>
      <c r="J477" s="881"/>
      <c r="K477" s="809"/>
      <c r="L477" s="795"/>
      <c r="M477" s="782"/>
    </row>
    <row r="478" spans="1:13" ht="13" customHeight="1" x14ac:dyDescent="0.35">
      <c r="A478" s="908"/>
      <c r="B478" s="795"/>
      <c r="C478" s="802"/>
      <c r="D478" s="880"/>
      <c r="E478" s="830"/>
      <c r="F478" s="830"/>
      <c r="G478" s="830"/>
      <c r="H478" s="830"/>
      <c r="I478" s="830"/>
      <c r="J478" s="881"/>
      <c r="K478" s="809"/>
      <c r="L478" s="795"/>
      <c r="M478" s="782"/>
    </row>
    <row r="479" spans="1:13" ht="13" customHeight="1" x14ac:dyDescent="0.35">
      <c r="A479" s="908"/>
      <c r="B479" s="795"/>
      <c r="C479" s="802"/>
      <c r="D479" s="880"/>
      <c r="E479" s="830"/>
      <c r="F479" s="830"/>
      <c r="G479" s="830"/>
      <c r="H479" s="830"/>
      <c r="I479" s="830"/>
      <c r="J479" s="881"/>
      <c r="K479" s="809"/>
      <c r="L479" s="795"/>
      <c r="M479" s="782"/>
    </row>
    <row r="480" spans="1:13" ht="13" customHeight="1" x14ac:dyDescent="0.35">
      <c r="A480" s="908"/>
      <c r="B480" s="795"/>
      <c r="C480" s="802"/>
      <c r="D480" s="880"/>
      <c r="E480" s="830"/>
      <c r="F480" s="830"/>
      <c r="G480" s="830"/>
      <c r="H480" s="830"/>
      <c r="I480" s="830"/>
      <c r="J480" s="881"/>
      <c r="K480" s="809"/>
      <c r="L480" s="795"/>
      <c r="M480" s="782"/>
    </row>
    <row r="481" spans="1:13" ht="13" customHeight="1" x14ac:dyDescent="0.35">
      <c r="A481" s="908"/>
      <c r="B481" s="795"/>
      <c r="C481" s="802"/>
      <c r="D481" s="880"/>
      <c r="E481" s="830"/>
      <c r="F481" s="830"/>
      <c r="G481" s="830"/>
      <c r="H481" s="830"/>
      <c r="I481" s="830"/>
      <c r="J481" s="881"/>
      <c r="K481" s="809"/>
      <c r="L481" s="795"/>
      <c r="M481" s="782"/>
    </row>
    <row r="482" spans="1:13" ht="13" customHeight="1" x14ac:dyDescent="0.35">
      <c r="A482" s="908"/>
      <c r="B482" s="795"/>
      <c r="C482" s="802"/>
      <c r="D482" s="880"/>
      <c r="E482" s="830"/>
      <c r="F482" s="830"/>
      <c r="G482" s="830"/>
      <c r="H482" s="830"/>
      <c r="I482" s="830"/>
      <c r="J482" s="881"/>
      <c r="K482" s="809"/>
      <c r="L482" s="795"/>
      <c r="M482" s="782"/>
    </row>
    <row r="483" spans="1:13" ht="13" customHeight="1" x14ac:dyDescent="0.35">
      <c r="A483" s="908"/>
      <c r="B483" s="795"/>
      <c r="C483" s="802"/>
      <c r="D483" s="880"/>
      <c r="E483" s="830"/>
      <c r="F483" s="830"/>
      <c r="G483" s="830"/>
      <c r="H483" s="830"/>
      <c r="I483" s="830"/>
      <c r="J483" s="881"/>
      <c r="K483" s="809"/>
      <c r="L483" s="795"/>
      <c r="M483" s="782"/>
    </row>
    <row r="484" spans="1:13" ht="13" customHeight="1" x14ac:dyDescent="0.35">
      <c r="A484" s="908"/>
      <c r="B484" s="795"/>
      <c r="C484" s="802"/>
      <c r="D484" s="880"/>
      <c r="E484" s="830"/>
      <c r="F484" s="830"/>
      <c r="G484" s="830"/>
      <c r="H484" s="830"/>
      <c r="I484" s="830"/>
      <c r="J484" s="881"/>
      <c r="K484" s="809"/>
      <c r="L484" s="795"/>
      <c r="M484" s="782"/>
    </row>
    <row r="485" spans="1:13" ht="13" customHeight="1" x14ac:dyDescent="0.35">
      <c r="A485" s="908"/>
      <c r="B485" s="795"/>
      <c r="C485" s="802"/>
      <c r="D485" s="882"/>
      <c r="E485" s="883"/>
      <c r="F485" s="883"/>
      <c r="G485" s="883"/>
      <c r="H485" s="883"/>
      <c r="I485" s="883"/>
      <c r="J485" s="884"/>
      <c r="K485" s="809"/>
      <c r="L485" s="795"/>
      <c r="M485" s="782"/>
    </row>
    <row r="486" spans="1:13" ht="16" customHeight="1" x14ac:dyDescent="0.35">
      <c r="A486" s="908"/>
      <c r="B486" s="795"/>
      <c r="C486" s="802"/>
      <c r="D486" s="831" t="str">
        <f>$D$78</f>
        <v xml:space="preserve"> Key financials</v>
      </c>
      <c r="E486" s="885" t="str">
        <f>FinYearR05</f>
        <v>12/2019</v>
      </c>
      <c r="F486" s="889">
        <f>F454</f>
        <v>-20</v>
      </c>
      <c r="G486" s="890">
        <f>G454</f>
        <v>-10</v>
      </c>
      <c r="H486" s="890">
        <f>H454</f>
        <v>0</v>
      </c>
      <c r="I486" s="890">
        <f>I454</f>
        <v>10</v>
      </c>
      <c r="J486" s="891">
        <f>J454</f>
        <v>20</v>
      </c>
      <c r="K486" s="809"/>
      <c r="L486" s="795"/>
      <c r="M486" s="782"/>
    </row>
    <row r="487" spans="1:13" ht="16" customHeight="1" x14ac:dyDescent="0.35">
      <c r="A487" s="908"/>
      <c r="B487" s="795"/>
      <c r="C487" s="802"/>
      <c r="D487" s="831" t="str">
        <f>" "&amp;INDEX(RatiosDD,Analysis05Ratio01)</f>
        <v xml:space="preserve"> EBITDA; Operating income before depreciation, Euro</v>
      </c>
      <c r="E487" s="836"/>
      <c r="F487" s="840" t="s">
        <v>45</v>
      </c>
      <c r="G487" s="841"/>
      <c r="H487" s="841"/>
      <c r="I487" s="841"/>
      <c r="J487" s="842"/>
      <c r="K487" s="809"/>
      <c r="L487" s="795"/>
      <c r="M487" s="782"/>
    </row>
    <row r="488" spans="1:13" ht="16" customHeight="1" x14ac:dyDescent="0.35">
      <c r="A488" s="908"/>
      <c r="B488" s="795"/>
      <c r="C488" s="802"/>
      <c r="D488" s="831" t="str">
        <f>" "&amp;INDEX(RatiosDD,Analysis05Ratio02)</f>
        <v xml:space="preserve"> EBITDA, %</v>
      </c>
      <c r="E488" s="836"/>
      <c r="F488" s="864"/>
      <c r="G488" s="865"/>
      <c r="H488" s="865"/>
      <c r="I488" s="865"/>
      <c r="J488" s="866"/>
      <c r="K488" s="809"/>
      <c r="L488" s="795"/>
      <c r="M488" s="782"/>
    </row>
    <row r="489" spans="1:13" ht="16" customHeight="1" x14ac:dyDescent="0.35">
      <c r="A489" s="908"/>
      <c r="B489" s="795"/>
      <c r="C489" s="802"/>
      <c r="D489" s="831" t="str">
        <f>" "&amp;INDEX(RatiosDD,Analysis05Ratio03)</f>
        <v xml:space="preserve"> EBIT; Operating income, Euro</v>
      </c>
      <c r="E489" s="836"/>
      <c r="F489" s="837"/>
      <c r="G489" s="838"/>
      <c r="H489" s="838"/>
      <c r="I489" s="838"/>
      <c r="J489" s="839"/>
      <c r="K489" s="809"/>
      <c r="L489" s="795"/>
      <c r="M489" s="782"/>
    </row>
    <row r="490" spans="1:13" ht="16" customHeight="1" x14ac:dyDescent="0.35">
      <c r="A490" s="908"/>
      <c r="B490" s="795"/>
      <c r="C490" s="802"/>
      <c r="D490" s="831" t="str">
        <f>" "&amp;INDEX(RatiosDD,Analysis05Ratio04)</f>
        <v xml:space="preserve"> EBIT, %</v>
      </c>
      <c r="E490" s="836"/>
      <c r="F490" s="840"/>
      <c r="G490" s="841"/>
      <c r="H490" s="841"/>
      <c r="I490" s="841"/>
      <c r="J490" s="842"/>
      <c r="K490" s="809"/>
      <c r="L490" s="795"/>
      <c r="M490" s="782"/>
    </row>
    <row r="491" spans="1:13" ht="16" customHeight="1" x14ac:dyDescent="0.35">
      <c r="A491" s="908"/>
      <c r="B491" s="795"/>
      <c r="C491" s="802"/>
      <c r="D491" s="831" t="str">
        <f>" "&amp;INDEX(RatiosDD,Analysis05Ratio05)</f>
        <v xml:space="preserve"> Return on net assets (RONA), %</v>
      </c>
      <c r="E491" s="836"/>
      <c r="F491" s="840"/>
      <c r="G491" s="841"/>
      <c r="H491" s="841"/>
      <c r="I491" s="841"/>
      <c r="J491" s="842"/>
      <c r="K491" s="809"/>
      <c r="L491" s="795"/>
      <c r="M491" s="782"/>
    </row>
    <row r="492" spans="1:13" ht="16" customHeight="1" x14ac:dyDescent="0.35">
      <c r="A492" s="908"/>
      <c r="B492" s="795"/>
      <c r="C492" s="802"/>
      <c r="D492" s="831" t="str">
        <f>" "&amp;INDEX(RatiosDD,Analysis05Ratio06)</f>
        <v xml:space="preserve"> Economic Value Added (EVA), Euro</v>
      </c>
      <c r="E492" s="836"/>
      <c r="F492" s="837"/>
      <c r="G492" s="838"/>
      <c r="H492" s="838"/>
      <c r="I492" s="838"/>
      <c r="J492" s="839"/>
      <c r="K492" s="809"/>
      <c r="L492" s="795"/>
      <c r="M492" s="782"/>
    </row>
    <row r="493" spans="1:13" ht="5.15" customHeight="1" x14ac:dyDescent="0.35">
      <c r="A493" s="908"/>
      <c r="B493" s="795"/>
      <c r="C493" s="843"/>
      <c r="D493" s="844"/>
      <c r="E493" s="844"/>
      <c r="F493" s="844"/>
      <c r="G493" s="844"/>
      <c r="H493" s="844"/>
      <c r="I493" s="844"/>
      <c r="J493" s="844"/>
      <c r="K493" s="845"/>
      <c r="L493" s="795"/>
      <c r="M493" s="782"/>
    </row>
    <row r="494" spans="1:13" ht="5.15" customHeight="1" x14ac:dyDescent="0.35">
      <c r="A494" s="908"/>
      <c r="B494" s="795"/>
      <c r="C494" s="795"/>
      <c r="D494" s="795"/>
      <c r="E494" s="795"/>
      <c r="F494" s="795"/>
      <c r="G494" s="795"/>
      <c r="H494" s="795"/>
      <c r="I494" s="795"/>
      <c r="J494" s="795"/>
      <c r="K494" s="795"/>
      <c r="L494" s="795"/>
      <c r="M494" s="782"/>
    </row>
  </sheetData>
  <sheetProtection algorithmName="SHA-512" hashValue="b6SjBiQhks9F0mLfkT9xa2bM+9RD3Y5jA2VSBHjAE5lCIQg29SHmTB5sqjWWo5H70TQoWPKqcKVS88yY+Oj1gw==" saltValue="3RrnJMyrp0A/ztRrYKXQaw==" spinCount="100000" sheet="1" objects="1" scenarios="1" formatCells="0"/>
  <printOptions horizontalCentered="1" verticalCentered="1"/>
  <pageMargins left="0.74803149606299213" right="0.74803149606299213" top="0.98425196850393704" bottom="0.98425196850393704" header="0.51181102362204722" footer="0.51181102362204722"/>
  <pageSetup paperSize="9" scale="115" orientation="landscape" r:id="rId1"/>
  <headerFooter>
    <oddFooter>&amp;L&amp;8Invest for Excel&amp;C&amp;8&amp;F&amp;R&amp;8&amp;D: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VariableDD1">
              <controlPr defaultSize="0" print="0" autoFill="0" autoLine="0" autoPict="0" macro="[0]!IncVarAnalysisRefresh">
                <anchor moveWithCells="1">
                  <from>
                    <xdr:col>5</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4098" r:id="rId5" name="ValuePeriodDD1">
              <controlPr defaultSize="0" print="0" autoFill="0" autoLine="0" autoPict="0" macro="[0]!IncVarAnalysisSampleValue">
                <anchor moveWithCells="1">
                  <from>
                    <xdr:col>3</xdr:col>
                    <xdr:colOff>1073150</xdr:colOff>
                    <xdr:row>224</xdr:row>
                    <xdr:rowOff>0</xdr:rowOff>
                  </from>
                  <to>
                    <xdr:col>5</xdr:col>
                    <xdr:colOff>0</xdr:colOff>
                    <xdr:row>225</xdr:row>
                    <xdr:rowOff>0</xdr:rowOff>
                  </to>
                </anchor>
              </controlPr>
            </control>
          </mc:Choice>
        </mc:AlternateContent>
        <mc:AlternateContent xmlns:mc="http://schemas.openxmlformats.org/markup-compatibility/2006">
          <mc:Choice Requires="x14">
            <control shapeId="4099" r:id="rId6" name="AFinYearDD01">
              <controlPr defaultSize="0" print="0" autoFill="0" autoLine="0" autoPict="0" macro="[0]!AnalysisYearChanged">
                <anchor moveWithCells="1">
                  <from>
                    <xdr:col>3</xdr:col>
                    <xdr:colOff>1085850</xdr:colOff>
                    <xdr:row>77</xdr:row>
                    <xdr:rowOff>0</xdr:rowOff>
                  </from>
                  <to>
                    <xdr:col>5</xdr:col>
                    <xdr:colOff>0</xdr:colOff>
                    <xdr:row>78</xdr:row>
                    <xdr:rowOff>0</xdr:rowOff>
                  </to>
                </anchor>
              </controlPr>
            </control>
          </mc:Choice>
        </mc:AlternateContent>
        <mc:AlternateContent xmlns:mc="http://schemas.openxmlformats.org/markup-compatibility/2006">
          <mc:Choice Requires="x14">
            <control shapeId="4100" r:id="rId7" name="AFinYearDD05">
              <controlPr defaultSize="0" print="0" autoFill="0" autoLine="0" autoPict="0" macro="[0]!AnalysisYearChanged">
                <anchor moveWithCells="1">
                  <from>
                    <xdr:col>3</xdr:col>
                    <xdr:colOff>1085850</xdr:colOff>
                    <xdr:row>255</xdr:row>
                    <xdr:rowOff>0</xdr:rowOff>
                  </from>
                  <to>
                    <xdr:col>5</xdr:col>
                    <xdr:colOff>0</xdr:colOff>
                    <xdr:row>256</xdr:row>
                    <xdr:rowOff>0</xdr:rowOff>
                  </to>
                </anchor>
              </controlPr>
            </control>
          </mc:Choice>
        </mc:AlternateContent>
        <mc:AlternateContent xmlns:mc="http://schemas.openxmlformats.org/markup-compatibility/2006">
          <mc:Choice Requires="x14">
            <control shapeId="4101" r:id="rId8" name="AFinYearDD02">
              <controlPr defaultSize="0" print="0" autoFill="0" autoLine="0" autoPict="0" macro="[0]!AnalysisYearChanged">
                <anchor moveWithCells="1">
                  <from>
                    <xdr:col>3</xdr:col>
                    <xdr:colOff>1085850</xdr:colOff>
                    <xdr:row>121</xdr:row>
                    <xdr:rowOff>0</xdr:rowOff>
                  </from>
                  <to>
                    <xdr:col>5</xdr:col>
                    <xdr:colOff>0</xdr:colOff>
                    <xdr:row>122</xdr:row>
                    <xdr:rowOff>0</xdr:rowOff>
                  </to>
                </anchor>
              </controlPr>
            </control>
          </mc:Choice>
        </mc:AlternateContent>
        <mc:AlternateContent xmlns:mc="http://schemas.openxmlformats.org/markup-compatibility/2006">
          <mc:Choice Requires="x14">
            <control shapeId="4102" r:id="rId9" name="AFinYearDD03">
              <controlPr defaultSize="0" print="0" autoFill="0" autoLine="0" autoPict="0" macro="[0]!AnalysisYearChanged">
                <anchor moveWithCells="1">
                  <from>
                    <xdr:col>3</xdr:col>
                    <xdr:colOff>1085850</xdr:colOff>
                    <xdr:row>165</xdr:row>
                    <xdr:rowOff>0</xdr:rowOff>
                  </from>
                  <to>
                    <xdr:col>5</xdr:col>
                    <xdr:colOff>0</xdr:colOff>
                    <xdr:row>166</xdr:row>
                    <xdr:rowOff>0</xdr:rowOff>
                  </to>
                </anchor>
              </controlPr>
            </control>
          </mc:Choice>
        </mc:AlternateContent>
        <mc:AlternateContent xmlns:mc="http://schemas.openxmlformats.org/markup-compatibility/2006">
          <mc:Choice Requires="x14">
            <control shapeId="4103" r:id="rId10" name="AFactorDD1">
              <controlPr defaultSize="0" print="0" autoFill="0" autoLine="0" autoPict="0" macro="[0]!AnalysisFactorChanged">
                <anchor moveWithCells="1">
                  <from>
                    <xdr:col>3</xdr:col>
                    <xdr:colOff>0</xdr:colOff>
                    <xdr:row>47</xdr:row>
                    <xdr:rowOff>0</xdr:rowOff>
                  </from>
                  <to>
                    <xdr:col>5</xdr:col>
                    <xdr:colOff>0</xdr:colOff>
                    <xdr:row>48</xdr:row>
                    <xdr:rowOff>0</xdr:rowOff>
                  </to>
                </anchor>
              </controlPr>
            </control>
          </mc:Choice>
        </mc:AlternateContent>
        <mc:AlternateContent xmlns:mc="http://schemas.openxmlformats.org/markup-compatibility/2006">
          <mc:Choice Requires="x14">
            <control shapeId="4104" r:id="rId11" name="AFactorDD2">
              <controlPr defaultSize="0" print="0" autoFill="0" autoLine="0" autoPict="0" macro="[0]!AnalysisFactorChanged">
                <anchor moveWithCells="1">
                  <from>
                    <xdr:col>3</xdr:col>
                    <xdr:colOff>0</xdr:colOff>
                    <xdr:row>91</xdr:row>
                    <xdr:rowOff>0</xdr:rowOff>
                  </from>
                  <to>
                    <xdr:col>5</xdr:col>
                    <xdr:colOff>0</xdr:colOff>
                    <xdr:row>92</xdr:row>
                    <xdr:rowOff>0</xdr:rowOff>
                  </to>
                </anchor>
              </controlPr>
            </control>
          </mc:Choice>
        </mc:AlternateContent>
        <mc:AlternateContent xmlns:mc="http://schemas.openxmlformats.org/markup-compatibility/2006">
          <mc:Choice Requires="x14">
            <control shapeId="4105" r:id="rId12" name="AFactorDD3">
              <controlPr defaultSize="0" print="0" autoFill="0" autoLine="0" autoPict="0" macro="[0]!AnalysisFactorChanged">
                <anchor moveWithCells="1">
                  <from>
                    <xdr:col>3</xdr:col>
                    <xdr:colOff>0</xdr:colOff>
                    <xdr:row>135</xdr:row>
                    <xdr:rowOff>0</xdr:rowOff>
                  </from>
                  <to>
                    <xdr:col>5</xdr:col>
                    <xdr:colOff>0</xdr:colOff>
                    <xdr:row>136</xdr:row>
                    <xdr:rowOff>0</xdr:rowOff>
                  </to>
                </anchor>
              </controlPr>
            </control>
          </mc:Choice>
        </mc:AlternateContent>
        <mc:AlternateContent xmlns:mc="http://schemas.openxmlformats.org/markup-compatibility/2006">
          <mc:Choice Requires="x14">
            <control shapeId="4106" r:id="rId13" name="AFinYearDD04">
              <controlPr defaultSize="0" print="0" autoFill="0" autoLine="0" autoPict="0" macro="[0]!AnalysisYearChanged">
                <anchor moveWithCells="1">
                  <from>
                    <xdr:col>3</xdr:col>
                    <xdr:colOff>1085850</xdr:colOff>
                    <xdr:row>209</xdr:row>
                    <xdr:rowOff>0</xdr:rowOff>
                  </from>
                  <to>
                    <xdr:col>5</xdr:col>
                    <xdr:colOff>0</xdr:colOff>
                    <xdr:row>210</xdr:row>
                    <xdr:rowOff>0</xdr:rowOff>
                  </to>
                </anchor>
              </controlPr>
            </control>
          </mc:Choice>
        </mc:AlternateContent>
        <mc:AlternateContent xmlns:mc="http://schemas.openxmlformats.org/markup-compatibility/2006">
          <mc:Choice Requires="x14">
            <control shapeId="4107" r:id="rId14" name="AFactorDD4">
              <controlPr defaultSize="0" print="0" autoFill="0" autoLine="0" autoPict="0" macro="[0]!AnalysisFactorChanged">
                <anchor moveWithCells="1">
                  <from>
                    <xdr:col>3</xdr:col>
                    <xdr:colOff>0</xdr:colOff>
                    <xdr:row>179</xdr:row>
                    <xdr:rowOff>0</xdr:rowOff>
                  </from>
                  <to>
                    <xdr:col>5</xdr:col>
                    <xdr:colOff>0</xdr:colOff>
                    <xdr:row>180</xdr:row>
                    <xdr:rowOff>0</xdr:rowOff>
                  </to>
                </anchor>
              </controlPr>
            </control>
          </mc:Choice>
        </mc:AlternateContent>
        <mc:AlternateContent xmlns:mc="http://schemas.openxmlformats.org/markup-compatibility/2006">
          <mc:Choice Requires="x14">
            <control shapeId="4108" r:id="rId15" name="AFactorDD5">
              <controlPr defaultSize="0" print="0" autoFill="0" autoLine="0" autoPict="0" macro="[0]!AnalysisFactorChanged">
                <anchor moveWithCells="1">
                  <from>
                    <xdr:col>3</xdr:col>
                    <xdr:colOff>0</xdr:colOff>
                    <xdr:row>225</xdr:row>
                    <xdr:rowOff>0</xdr:rowOff>
                  </from>
                  <to>
                    <xdr:col>5</xdr:col>
                    <xdr:colOff>0</xdr:colOff>
                    <xdr:row>226</xdr:row>
                    <xdr:rowOff>0</xdr:rowOff>
                  </to>
                </anchor>
              </controlPr>
            </control>
          </mc:Choice>
        </mc:AlternateContent>
        <mc:AlternateContent xmlns:mc="http://schemas.openxmlformats.org/markup-compatibility/2006">
          <mc:Choice Requires="x14">
            <control shapeId="4109" r:id="rId16" name="AFactorDD6">
              <controlPr defaultSize="0" print="0" autoFill="0" autoLine="0" autoPict="0" macro="[0]!AnalysisFactor2Changed">
                <anchor moveWithCells="1">
                  <from>
                    <xdr:col>3</xdr:col>
                    <xdr:colOff>0</xdr:colOff>
                    <xdr:row>8</xdr:row>
                    <xdr:rowOff>0</xdr:rowOff>
                  </from>
                  <to>
                    <xdr:col>5</xdr:col>
                    <xdr:colOff>0</xdr:colOff>
                    <xdr:row>9</xdr:row>
                    <xdr:rowOff>0</xdr:rowOff>
                  </to>
                </anchor>
              </controlPr>
            </control>
          </mc:Choice>
        </mc:AlternateContent>
        <mc:AlternateContent xmlns:mc="http://schemas.openxmlformats.org/markup-compatibility/2006">
          <mc:Choice Requires="x14">
            <control shapeId="4110" r:id="rId17" name="A01RatioDD01">
              <controlPr defaultSize="0" print="0" autoFill="0" autoLine="0" autoPict="0" macro="[0]!AnalysisRatioSelected">
                <anchor moveWithCells="1">
                  <from>
                    <xdr:col>3</xdr:col>
                    <xdr:colOff>0</xdr:colOff>
                    <xdr:row>78</xdr:row>
                    <xdr:rowOff>0</xdr:rowOff>
                  </from>
                  <to>
                    <xdr:col>5</xdr:col>
                    <xdr:colOff>0</xdr:colOff>
                    <xdr:row>79</xdr:row>
                    <xdr:rowOff>0</xdr:rowOff>
                  </to>
                </anchor>
              </controlPr>
            </control>
          </mc:Choice>
        </mc:AlternateContent>
        <mc:AlternateContent xmlns:mc="http://schemas.openxmlformats.org/markup-compatibility/2006">
          <mc:Choice Requires="x14">
            <control shapeId="4111" r:id="rId18" name="A01RatioDD02">
              <controlPr defaultSize="0" print="0" autoFill="0" autoLine="0" autoPict="0" macro="[0]!AnalysisRatioSelected">
                <anchor moveWithCells="1">
                  <from>
                    <xdr:col>3</xdr:col>
                    <xdr:colOff>0</xdr:colOff>
                    <xdr:row>79</xdr:row>
                    <xdr:rowOff>0</xdr:rowOff>
                  </from>
                  <to>
                    <xdr:col>5</xdr:col>
                    <xdr:colOff>0</xdr:colOff>
                    <xdr:row>80</xdr:row>
                    <xdr:rowOff>0</xdr:rowOff>
                  </to>
                </anchor>
              </controlPr>
            </control>
          </mc:Choice>
        </mc:AlternateContent>
        <mc:AlternateContent xmlns:mc="http://schemas.openxmlformats.org/markup-compatibility/2006">
          <mc:Choice Requires="x14">
            <control shapeId="4112" r:id="rId19" name="A01RatioDD03">
              <controlPr defaultSize="0" print="0" autoFill="0" autoLine="0" autoPict="0" macro="[0]!AnalysisRatioSelected">
                <anchor moveWithCells="1">
                  <from>
                    <xdr:col>3</xdr:col>
                    <xdr:colOff>0</xdr:colOff>
                    <xdr:row>80</xdr:row>
                    <xdr:rowOff>0</xdr:rowOff>
                  </from>
                  <to>
                    <xdr:col>5</xdr:col>
                    <xdr:colOff>0</xdr:colOff>
                    <xdr:row>81</xdr:row>
                    <xdr:rowOff>0</xdr:rowOff>
                  </to>
                </anchor>
              </controlPr>
            </control>
          </mc:Choice>
        </mc:AlternateContent>
        <mc:AlternateContent xmlns:mc="http://schemas.openxmlformats.org/markup-compatibility/2006">
          <mc:Choice Requires="x14">
            <control shapeId="4113" r:id="rId20" name="A01RatioDD04">
              <controlPr defaultSize="0" print="0" autoFill="0" autoLine="0" autoPict="0" macro="[0]!AnalysisRatioSelected">
                <anchor moveWithCells="1">
                  <from>
                    <xdr:col>3</xdr:col>
                    <xdr:colOff>0</xdr:colOff>
                    <xdr:row>81</xdr:row>
                    <xdr:rowOff>0</xdr:rowOff>
                  </from>
                  <to>
                    <xdr:col>5</xdr:col>
                    <xdr:colOff>0</xdr:colOff>
                    <xdr:row>82</xdr:row>
                    <xdr:rowOff>0</xdr:rowOff>
                  </to>
                </anchor>
              </controlPr>
            </control>
          </mc:Choice>
        </mc:AlternateContent>
        <mc:AlternateContent xmlns:mc="http://schemas.openxmlformats.org/markup-compatibility/2006">
          <mc:Choice Requires="x14">
            <control shapeId="4114" r:id="rId21" name="A01RatioDD05">
              <controlPr defaultSize="0" print="0" autoFill="0" autoLine="0" autoPict="0" macro="[0]!AnalysisRatioSelected">
                <anchor moveWithCells="1">
                  <from>
                    <xdr:col>3</xdr:col>
                    <xdr:colOff>0</xdr:colOff>
                    <xdr:row>82</xdr:row>
                    <xdr:rowOff>0</xdr:rowOff>
                  </from>
                  <to>
                    <xdr:col>5</xdr:col>
                    <xdr:colOff>0</xdr:colOff>
                    <xdr:row>83</xdr:row>
                    <xdr:rowOff>0</xdr:rowOff>
                  </to>
                </anchor>
              </controlPr>
            </control>
          </mc:Choice>
        </mc:AlternateContent>
        <mc:AlternateContent xmlns:mc="http://schemas.openxmlformats.org/markup-compatibility/2006">
          <mc:Choice Requires="x14">
            <control shapeId="4115" r:id="rId22" name="A01RatioDD06">
              <controlPr defaultSize="0" print="0" autoFill="0" autoLine="0" autoPict="0" macro="[0]!AnalysisRatioSelected">
                <anchor moveWithCells="1">
                  <from>
                    <xdr:col>3</xdr:col>
                    <xdr:colOff>0</xdr:colOff>
                    <xdr:row>83</xdr:row>
                    <xdr:rowOff>0</xdr:rowOff>
                  </from>
                  <to>
                    <xdr:col>5</xdr:col>
                    <xdr:colOff>0</xdr:colOff>
                    <xdr:row>84</xdr:row>
                    <xdr:rowOff>0</xdr:rowOff>
                  </to>
                </anchor>
              </controlPr>
            </control>
          </mc:Choice>
        </mc:AlternateContent>
        <mc:AlternateContent xmlns:mc="http://schemas.openxmlformats.org/markup-compatibility/2006">
          <mc:Choice Requires="x14">
            <control shapeId="4116" r:id="rId23" name="A02RatioDD01">
              <controlPr defaultSize="0" print="0" autoFill="0" autoLine="0" autoPict="0" macro="[0]!AnalysisRatioSelected">
                <anchor moveWithCells="1">
                  <from>
                    <xdr:col>3</xdr:col>
                    <xdr:colOff>0</xdr:colOff>
                    <xdr:row>122</xdr:row>
                    <xdr:rowOff>0</xdr:rowOff>
                  </from>
                  <to>
                    <xdr:col>5</xdr:col>
                    <xdr:colOff>0</xdr:colOff>
                    <xdr:row>123</xdr:row>
                    <xdr:rowOff>0</xdr:rowOff>
                  </to>
                </anchor>
              </controlPr>
            </control>
          </mc:Choice>
        </mc:AlternateContent>
        <mc:AlternateContent xmlns:mc="http://schemas.openxmlformats.org/markup-compatibility/2006">
          <mc:Choice Requires="x14">
            <control shapeId="4117" r:id="rId24" name="A02RatioDD02">
              <controlPr defaultSize="0" print="0" autoFill="0" autoLine="0" autoPict="0" macro="[0]!AnalysisRatioSelected">
                <anchor moveWithCells="1">
                  <from>
                    <xdr:col>3</xdr:col>
                    <xdr:colOff>0</xdr:colOff>
                    <xdr:row>123</xdr:row>
                    <xdr:rowOff>0</xdr:rowOff>
                  </from>
                  <to>
                    <xdr:col>5</xdr:col>
                    <xdr:colOff>0</xdr:colOff>
                    <xdr:row>124</xdr:row>
                    <xdr:rowOff>0</xdr:rowOff>
                  </to>
                </anchor>
              </controlPr>
            </control>
          </mc:Choice>
        </mc:AlternateContent>
        <mc:AlternateContent xmlns:mc="http://schemas.openxmlformats.org/markup-compatibility/2006">
          <mc:Choice Requires="x14">
            <control shapeId="4118" r:id="rId25" name="A02RatioDD03">
              <controlPr defaultSize="0" print="0" autoFill="0" autoLine="0" autoPict="0" macro="[0]!AnalysisRatioSelected">
                <anchor moveWithCells="1">
                  <from>
                    <xdr:col>3</xdr:col>
                    <xdr:colOff>0</xdr:colOff>
                    <xdr:row>124</xdr:row>
                    <xdr:rowOff>0</xdr:rowOff>
                  </from>
                  <to>
                    <xdr:col>5</xdr:col>
                    <xdr:colOff>0</xdr:colOff>
                    <xdr:row>125</xdr:row>
                    <xdr:rowOff>0</xdr:rowOff>
                  </to>
                </anchor>
              </controlPr>
            </control>
          </mc:Choice>
        </mc:AlternateContent>
        <mc:AlternateContent xmlns:mc="http://schemas.openxmlformats.org/markup-compatibility/2006">
          <mc:Choice Requires="x14">
            <control shapeId="4119" r:id="rId26" name="A02RatioDD04">
              <controlPr defaultSize="0" print="0" autoFill="0" autoLine="0" autoPict="0" macro="[0]!AnalysisRatioSelected">
                <anchor moveWithCells="1">
                  <from>
                    <xdr:col>3</xdr:col>
                    <xdr:colOff>0</xdr:colOff>
                    <xdr:row>125</xdr:row>
                    <xdr:rowOff>0</xdr:rowOff>
                  </from>
                  <to>
                    <xdr:col>5</xdr:col>
                    <xdr:colOff>0</xdr:colOff>
                    <xdr:row>126</xdr:row>
                    <xdr:rowOff>0</xdr:rowOff>
                  </to>
                </anchor>
              </controlPr>
            </control>
          </mc:Choice>
        </mc:AlternateContent>
        <mc:AlternateContent xmlns:mc="http://schemas.openxmlformats.org/markup-compatibility/2006">
          <mc:Choice Requires="x14">
            <control shapeId="4120" r:id="rId27" name="A02RatioDD05">
              <controlPr defaultSize="0" print="0" autoFill="0" autoLine="0" autoPict="0" macro="[0]!AnalysisRatioSelected">
                <anchor moveWithCells="1">
                  <from>
                    <xdr:col>3</xdr:col>
                    <xdr:colOff>0</xdr:colOff>
                    <xdr:row>126</xdr:row>
                    <xdr:rowOff>0</xdr:rowOff>
                  </from>
                  <to>
                    <xdr:col>5</xdr:col>
                    <xdr:colOff>0</xdr:colOff>
                    <xdr:row>127</xdr:row>
                    <xdr:rowOff>0</xdr:rowOff>
                  </to>
                </anchor>
              </controlPr>
            </control>
          </mc:Choice>
        </mc:AlternateContent>
        <mc:AlternateContent xmlns:mc="http://schemas.openxmlformats.org/markup-compatibility/2006">
          <mc:Choice Requires="x14">
            <control shapeId="4121" r:id="rId28" name="A02RatioDD06">
              <controlPr defaultSize="0" print="0" autoFill="0" autoLine="0" autoPict="0" macro="[0]!AnalysisRatioSelected">
                <anchor moveWithCells="1">
                  <from>
                    <xdr:col>3</xdr:col>
                    <xdr:colOff>0</xdr:colOff>
                    <xdr:row>127</xdr:row>
                    <xdr:rowOff>0</xdr:rowOff>
                  </from>
                  <to>
                    <xdr:col>5</xdr:col>
                    <xdr:colOff>0</xdr:colOff>
                    <xdr:row>128</xdr:row>
                    <xdr:rowOff>0</xdr:rowOff>
                  </to>
                </anchor>
              </controlPr>
            </control>
          </mc:Choice>
        </mc:AlternateContent>
        <mc:AlternateContent xmlns:mc="http://schemas.openxmlformats.org/markup-compatibility/2006">
          <mc:Choice Requires="x14">
            <control shapeId="4122" r:id="rId29" name="A03RatioDD01">
              <controlPr defaultSize="0" print="0" autoFill="0" autoLine="0" autoPict="0" macro="[0]!AnalysisRatioSelected">
                <anchor moveWithCells="1">
                  <from>
                    <xdr:col>3</xdr:col>
                    <xdr:colOff>0</xdr:colOff>
                    <xdr:row>166</xdr:row>
                    <xdr:rowOff>0</xdr:rowOff>
                  </from>
                  <to>
                    <xdr:col>5</xdr:col>
                    <xdr:colOff>0</xdr:colOff>
                    <xdr:row>167</xdr:row>
                    <xdr:rowOff>0</xdr:rowOff>
                  </to>
                </anchor>
              </controlPr>
            </control>
          </mc:Choice>
        </mc:AlternateContent>
        <mc:AlternateContent xmlns:mc="http://schemas.openxmlformats.org/markup-compatibility/2006">
          <mc:Choice Requires="x14">
            <control shapeId="4123" r:id="rId30" name="A03RatioDD02">
              <controlPr defaultSize="0" print="0" autoFill="0" autoLine="0" autoPict="0" macro="[0]!AnalysisRatioSelected">
                <anchor moveWithCells="1">
                  <from>
                    <xdr:col>3</xdr:col>
                    <xdr:colOff>0</xdr:colOff>
                    <xdr:row>167</xdr:row>
                    <xdr:rowOff>0</xdr:rowOff>
                  </from>
                  <to>
                    <xdr:col>5</xdr:col>
                    <xdr:colOff>0</xdr:colOff>
                    <xdr:row>168</xdr:row>
                    <xdr:rowOff>0</xdr:rowOff>
                  </to>
                </anchor>
              </controlPr>
            </control>
          </mc:Choice>
        </mc:AlternateContent>
        <mc:AlternateContent xmlns:mc="http://schemas.openxmlformats.org/markup-compatibility/2006">
          <mc:Choice Requires="x14">
            <control shapeId="4124" r:id="rId31" name="A03RatioDD03">
              <controlPr defaultSize="0" print="0" autoFill="0" autoLine="0" autoPict="0" macro="[0]!AnalysisRatioSelected">
                <anchor moveWithCells="1">
                  <from>
                    <xdr:col>3</xdr:col>
                    <xdr:colOff>0</xdr:colOff>
                    <xdr:row>168</xdr:row>
                    <xdr:rowOff>0</xdr:rowOff>
                  </from>
                  <to>
                    <xdr:col>5</xdr:col>
                    <xdr:colOff>0</xdr:colOff>
                    <xdr:row>169</xdr:row>
                    <xdr:rowOff>0</xdr:rowOff>
                  </to>
                </anchor>
              </controlPr>
            </control>
          </mc:Choice>
        </mc:AlternateContent>
        <mc:AlternateContent xmlns:mc="http://schemas.openxmlformats.org/markup-compatibility/2006">
          <mc:Choice Requires="x14">
            <control shapeId="4125" r:id="rId32" name="A03RatioDD04">
              <controlPr defaultSize="0" print="0" autoFill="0" autoLine="0" autoPict="0" macro="[0]!AnalysisRatioSelected">
                <anchor moveWithCells="1">
                  <from>
                    <xdr:col>3</xdr:col>
                    <xdr:colOff>0</xdr:colOff>
                    <xdr:row>169</xdr:row>
                    <xdr:rowOff>0</xdr:rowOff>
                  </from>
                  <to>
                    <xdr:col>5</xdr:col>
                    <xdr:colOff>0</xdr:colOff>
                    <xdr:row>170</xdr:row>
                    <xdr:rowOff>0</xdr:rowOff>
                  </to>
                </anchor>
              </controlPr>
            </control>
          </mc:Choice>
        </mc:AlternateContent>
        <mc:AlternateContent xmlns:mc="http://schemas.openxmlformats.org/markup-compatibility/2006">
          <mc:Choice Requires="x14">
            <control shapeId="4126" r:id="rId33" name="A03RatioDD05">
              <controlPr defaultSize="0" print="0" autoFill="0" autoLine="0" autoPict="0" macro="[0]!AnalysisRatioSelected">
                <anchor moveWithCells="1">
                  <from>
                    <xdr:col>3</xdr:col>
                    <xdr:colOff>0</xdr:colOff>
                    <xdr:row>170</xdr:row>
                    <xdr:rowOff>0</xdr:rowOff>
                  </from>
                  <to>
                    <xdr:col>5</xdr:col>
                    <xdr:colOff>0</xdr:colOff>
                    <xdr:row>171</xdr:row>
                    <xdr:rowOff>0</xdr:rowOff>
                  </to>
                </anchor>
              </controlPr>
            </control>
          </mc:Choice>
        </mc:AlternateContent>
        <mc:AlternateContent xmlns:mc="http://schemas.openxmlformats.org/markup-compatibility/2006">
          <mc:Choice Requires="x14">
            <control shapeId="4127" r:id="rId34" name="A03RatioDD06">
              <controlPr defaultSize="0" print="0" autoFill="0" autoLine="0" autoPict="0" macro="[0]!AnalysisRatioSelected">
                <anchor moveWithCells="1">
                  <from>
                    <xdr:col>3</xdr:col>
                    <xdr:colOff>0</xdr:colOff>
                    <xdr:row>171</xdr:row>
                    <xdr:rowOff>0</xdr:rowOff>
                  </from>
                  <to>
                    <xdr:col>5</xdr:col>
                    <xdr:colOff>0</xdr:colOff>
                    <xdr:row>172</xdr:row>
                    <xdr:rowOff>0</xdr:rowOff>
                  </to>
                </anchor>
              </controlPr>
            </control>
          </mc:Choice>
        </mc:AlternateContent>
        <mc:AlternateContent xmlns:mc="http://schemas.openxmlformats.org/markup-compatibility/2006">
          <mc:Choice Requires="x14">
            <control shapeId="4128" r:id="rId35" name="A04RatioDD01">
              <controlPr defaultSize="0" print="0" autoFill="0" autoLine="0" autoPict="0" macro="[0]!AnalysisRatioSelected">
                <anchor moveWithCells="1">
                  <from>
                    <xdr:col>3</xdr:col>
                    <xdr:colOff>0</xdr:colOff>
                    <xdr:row>210</xdr:row>
                    <xdr:rowOff>0</xdr:rowOff>
                  </from>
                  <to>
                    <xdr:col>5</xdr:col>
                    <xdr:colOff>0</xdr:colOff>
                    <xdr:row>211</xdr:row>
                    <xdr:rowOff>0</xdr:rowOff>
                  </to>
                </anchor>
              </controlPr>
            </control>
          </mc:Choice>
        </mc:AlternateContent>
        <mc:AlternateContent xmlns:mc="http://schemas.openxmlformats.org/markup-compatibility/2006">
          <mc:Choice Requires="x14">
            <control shapeId="4129" r:id="rId36" name="A04RatioDD02">
              <controlPr defaultSize="0" print="0" autoFill="0" autoLine="0" autoPict="0" macro="[0]!AnalysisRatioSelected">
                <anchor moveWithCells="1">
                  <from>
                    <xdr:col>3</xdr:col>
                    <xdr:colOff>0</xdr:colOff>
                    <xdr:row>211</xdr:row>
                    <xdr:rowOff>0</xdr:rowOff>
                  </from>
                  <to>
                    <xdr:col>5</xdr:col>
                    <xdr:colOff>0</xdr:colOff>
                    <xdr:row>212</xdr:row>
                    <xdr:rowOff>0</xdr:rowOff>
                  </to>
                </anchor>
              </controlPr>
            </control>
          </mc:Choice>
        </mc:AlternateContent>
        <mc:AlternateContent xmlns:mc="http://schemas.openxmlformats.org/markup-compatibility/2006">
          <mc:Choice Requires="x14">
            <control shapeId="4130" r:id="rId37" name="A04RatioDD03">
              <controlPr defaultSize="0" print="0" autoFill="0" autoLine="0" autoPict="0" macro="[0]!AnalysisRatioSelected">
                <anchor moveWithCells="1">
                  <from>
                    <xdr:col>3</xdr:col>
                    <xdr:colOff>0</xdr:colOff>
                    <xdr:row>212</xdr:row>
                    <xdr:rowOff>0</xdr:rowOff>
                  </from>
                  <to>
                    <xdr:col>5</xdr:col>
                    <xdr:colOff>0</xdr:colOff>
                    <xdr:row>213</xdr:row>
                    <xdr:rowOff>0</xdr:rowOff>
                  </to>
                </anchor>
              </controlPr>
            </control>
          </mc:Choice>
        </mc:AlternateContent>
        <mc:AlternateContent xmlns:mc="http://schemas.openxmlformats.org/markup-compatibility/2006">
          <mc:Choice Requires="x14">
            <control shapeId="4131" r:id="rId38" name="A04RatioDD04">
              <controlPr defaultSize="0" print="0" autoFill="0" autoLine="0" autoPict="0" macro="[0]!AnalysisRatioSelected">
                <anchor moveWithCells="1">
                  <from>
                    <xdr:col>3</xdr:col>
                    <xdr:colOff>0</xdr:colOff>
                    <xdr:row>213</xdr:row>
                    <xdr:rowOff>0</xdr:rowOff>
                  </from>
                  <to>
                    <xdr:col>5</xdr:col>
                    <xdr:colOff>0</xdr:colOff>
                    <xdr:row>214</xdr:row>
                    <xdr:rowOff>0</xdr:rowOff>
                  </to>
                </anchor>
              </controlPr>
            </control>
          </mc:Choice>
        </mc:AlternateContent>
        <mc:AlternateContent xmlns:mc="http://schemas.openxmlformats.org/markup-compatibility/2006">
          <mc:Choice Requires="x14">
            <control shapeId="4132" r:id="rId39" name="A04RatioDD05">
              <controlPr defaultSize="0" print="0" autoFill="0" autoLine="0" autoPict="0" macro="[0]!AnalysisRatioSelected">
                <anchor moveWithCells="1">
                  <from>
                    <xdr:col>3</xdr:col>
                    <xdr:colOff>0</xdr:colOff>
                    <xdr:row>214</xdr:row>
                    <xdr:rowOff>0</xdr:rowOff>
                  </from>
                  <to>
                    <xdr:col>5</xdr:col>
                    <xdr:colOff>0</xdr:colOff>
                    <xdr:row>215</xdr:row>
                    <xdr:rowOff>0</xdr:rowOff>
                  </to>
                </anchor>
              </controlPr>
            </control>
          </mc:Choice>
        </mc:AlternateContent>
        <mc:AlternateContent xmlns:mc="http://schemas.openxmlformats.org/markup-compatibility/2006">
          <mc:Choice Requires="x14">
            <control shapeId="4133" r:id="rId40" name="A04RatioDD06">
              <controlPr defaultSize="0" print="0" autoFill="0" autoLine="0" autoPict="0" macro="[0]!AnalysisRatioSelected">
                <anchor moveWithCells="1">
                  <from>
                    <xdr:col>3</xdr:col>
                    <xdr:colOff>0</xdr:colOff>
                    <xdr:row>215</xdr:row>
                    <xdr:rowOff>0</xdr:rowOff>
                  </from>
                  <to>
                    <xdr:col>5</xdr:col>
                    <xdr:colOff>0</xdr:colOff>
                    <xdr:row>216</xdr:row>
                    <xdr:rowOff>0</xdr:rowOff>
                  </to>
                </anchor>
              </controlPr>
            </control>
          </mc:Choice>
        </mc:AlternateContent>
        <mc:AlternateContent xmlns:mc="http://schemas.openxmlformats.org/markup-compatibility/2006">
          <mc:Choice Requires="x14">
            <control shapeId="4134" r:id="rId41" name="A05RatioDD01">
              <controlPr defaultSize="0" print="0" autoFill="0" autoLine="0" autoPict="0" macro="[0]!AnalysisRatioSelected">
                <anchor moveWithCells="1">
                  <from>
                    <xdr:col>3</xdr:col>
                    <xdr:colOff>0</xdr:colOff>
                    <xdr:row>256</xdr:row>
                    <xdr:rowOff>0</xdr:rowOff>
                  </from>
                  <to>
                    <xdr:col>5</xdr:col>
                    <xdr:colOff>0</xdr:colOff>
                    <xdr:row>257</xdr:row>
                    <xdr:rowOff>0</xdr:rowOff>
                  </to>
                </anchor>
              </controlPr>
            </control>
          </mc:Choice>
        </mc:AlternateContent>
        <mc:AlternateContent xmlns:mc="http://schemas.openxmlformats.org/markup-compatibility/2006">
          <mc:Choice Requires="x14">
            <control shapeId="4135" r:id="rId42" name="A05RatioDD02">
              <controlPr defaultSize="0" print="0" autoFill="0" autoLine="0" autoPict="0" macro="[0]!AnalysisRatioSelected">
                <anchor moveWithCells="1">
                  <from>
                    <xdr:col>3</xdr:col>
                    <xdr:colOff>0</xdr:colOff>
                    <xdr:row>257</xdr:row>
                    <xdr:rowOff>0</xdr:rowOff>
                  </from>
                  <to>
                    <xdr:col>5</xdr:col>
                    <xdr:colOff>0</xdr:colOff>
                    <xdr:row>258</xdr:row>
                    <xdr:rowOff>0</xdr:rowOff>
                  </to>
                </anchor>
              </controlPr>
            </control>
          </mc:Choice>
        </mc:AlternateContent>
        <mc:AlternateContent xmlns:mc="http://schemas.openxmlformats.org/markup-compatibility/2006">
          <mc:Choice Requires="x14">
            <control shapeId="4136" r:id="rId43" name="A05RatioDD03">
              <controlPr defaultSize="0" print="0" autoFill="0" autoLine="0" autoPict="0" macro="[0]!AnalysisRatioSelected">
                <anchor moveWithCells="1">
                  <from>
                    <xdr:col>3</xdr:col>
                    <xdr:colOff>0</xdr:colOff>
                    <xdr:row>258</xdr:row>
                    <xdr:rowOff>0</xdr:rowOff>
                  </from>
                  <to>
                    <xdr:col>5</xdr:col>
                    <xdr:colOff>0</xdr:colOff>
                    <xdr:row>259</xdr:row>
                    <xdr:rowOff>0</xdr:rowOff>
                  </to>
                </anchor>
              </controlPr>
            </control>
          </mc:Choice>
        </mc:AlternateContent>
        <mc:AlternateContent xmlns:mc="http://schemas.openxmlformats.org/markup-compatibility/2006">
          <mc:Choice Requires="x14">
            <control shapeId="4137" r:id="rId44" name="A05RatioDD04">
              <controlPr defaultSize="0" print="0" autoFill="0" autoLine="0" autoPict="0" macro="[0]!AnalysisRatioSelected">
                <anchor moveWithCells="1">
                  <from>
                    <xdr:col>3</xdr:col>
                    <xdr:colOff>0</xdr:colOff>
                    <xdr:row>259</xdr:row>
                    <xdr:rowOff>0</xdr:rowOff>
                  </from>
                  <to>
                    <xdr:col>5</xdr:col>
                    <xdr:colOff>0</xdr:colOff>
                    <xdr:row>260</xdr:row>
                    <xdr:rowOff>0</xdr:rowOff>
                  </to>
                </anchor>
              </controlPr>
            </control>
          </mc:Choice>
        </mc:AlternateContent>
        <mc:AlternateContent xmlns:mc="http://schemas.openxmlformats.org/markup-compatibility/2006">
          <mc:Choice Requires="x14">
            <control shapeId="4138" r:id="rId45" name="A05RatioDD05">
              <controlPr defaultSize="0" print="0" autoFill="0" autoLine="0" autoPict="0" macro="[0]!AnalysisRatioSelected">
                <anchor moveWithCells="1">
                  <from>
                    <xdr:col>3</xdr:col>
                    <xdr:colOff>0</xdr:colOff>
                    <xdr:row>260</xdr:row>
                    <xdr:rowOff>0</xdr:rowOff>
                  </from>
                  <to>
                    <xdr:col>5</xdr:col>
                    <xdr:colOff>0</xdr:colOff>
                    <xdr:row>261</xdr:row>
                    <xdr:rowOff>0</xdr:rowOff>
                  </to>
                </anchor>
              </controlPr>
            </control>
          </mc:Choice>
        </mc:AlternateContent>
        <mc:AlternateContent xmlns:mc="http://schemas.openxmlformats.org/markup-compatibility/2006">
          <mc:Choice Requires="x14">
            <control shapeId="4139" r:id="rId46" name="A05RatioDD06">
              <controlPr defaultSize="0" print="0" autoFill="0" autoLine="0" autoPict="0" macro="[0]!AnalysisRatioSelected">
                <anchor moveWithCells="1">
                  <from>
                    <xdr:col>3</xdr:col>
                    <xdr:colOff>0</xdr:colOff>
                    <xdr:row>261</xdr:row>
                    <xdr:rowOff>0</xdr:rowOff>
                  </from>
                  <to>
                    <xdr:col>5</xdr:col>
                    <xdr:colOff>0</xdr:colOff>
                    <xdr:row>262</xdr:row>
                    <xdr:rowOff>0</xdr:rowOff>
                  </to>
                </anchor>
              </controlPr>
            </control>
          </mc:Choice>
        </mc:AlternateContent>
        <mc:AlternateContent xmlns:mc="http://schemas.openxmlformats.org/markup-compatibility/2006">
          <mc:Choice Requires="x14">
            <control shapeId="4140" r:id="rId47" name="AFinYearDD06">
              <controlPr defaultSize="0" print="0" autoFill="0" autoLine="0" autoPict="0" macro="[0]!AnalysisYearChanged">
                <anchor moveWithCells="1">
                  <from>
                    <xdr:col>3</xdr:col>
                    <xdr:colOff>1085850</xdr:colOff>
                    <xdr:row>32</xdr:row>
                    <xdr:rowOff>0</xdr:rowOff>
                  </from>
                  <to>
                    <xdr:col>5</xdr:col>
                    <xdr:colOff>0</xdr:colOff>
                    <xdr:row>33</xdr:row>
                    <xdr:rowOff>0</xdr:rowOff>
                  </to>
                </anchor>
              </controlPr>
            </control>
          </mc:Choice>
        </mc:AlternateContent>
        <mc:AlternateContent xmlns:mc="http://schemas.openxmlformats.org/markup-compatibility/2006">
          <mc:Choice Requires="x14">
            <control shapeId="4141" r:id="rId48" name="A06RatioDD01">
              <controlPr defaultSize="0" print="0" autoFill="0" autoLine="0" autoPict="0" macro="[0]!AnalysisRatioSelected">
                <anchor moveWithCells="1">
                  <from>
                    <xdr:col>3</xdr:col>
                    <xdr:colOff>0</xdr:colOff>
                    <xdr:row>33</xdr:row>
                    <xdr:rowOff>0</xdr:rowOff>
                  </from>
                  <to>
                    <xdr:col>5</xdr:col>
                    <xdr:colOff>0</xdr:colOff>
                    <xdr:row>34</xdr:row>
                    <xdr:rowOff>0</xdr:rowOff>
                  </to>
                </anchor>
              </controlPr>
            </control>
          </mc:Choice>
        </mc:AlternateContent>
        <mc:AlternateContent xmlns:mc="http://schemas.openxmlformats.org/markup-compatibility/2006">
          <mc:Choice Requires="x14">
            <control shapeId="4142" r:id="rId49" name="A06RatioDD02">
              <controlPr defaultSize="0" print="0" autoFill="0" autoLine="0" autoPict="0" macro="[0]!AnalysisRatioSelected">
                <anchor moveWithCells="1">
                  <from>
                    <xdr:col>3</xdr:col>
                    <xdr:colOff>0</xdr:colOff>
                    <xdr:row>34</xdr:row>
                    <xdr:rowOff>0</xdr:rowOff>
                  </from>
                  <to>
                    <xdr:col>5</xdr:col>
                    <xdr:colOff>0</xdr:colOff>
                    <xdr:row>35</xdr:row>
                    <xdr:rowOff>0</xdr:rowOff>
                  </to>
                </anchor>
              </controlPr>
            </control>
          </mc:Choice>
        </mc:AlternateContent>
        <mc:AlternateContent xmlns:mc="http://schemas.openxmlformats.org/markup-compatibility/2006">
          <mc:Choice Requires="x14">
            <control shapeId="4143" r:id="rId50" name="A06RatioDD03">
              <controlPr defaultSize="0" print="0" autoFill="0" autoLine="0" autoPict="0" macro="[0]!AnalysisRatioSelected">
                <anchor moveWithCells="1">
                  <from>
                    <xdr:col>3</xdr:col>
                    <xdr:colOff>0</xdr:colOff>
                    <xdr:row>35</xdr:row>
                    <xdr:rowOff>0</xdr:rowOff>
                  </from>
                  <to>
                    <xdr:col>5</xdr:col>
                    <xdr:colOff>0</xdr:colOff>
                    <xdr:row>36</xdr:row>
                    <xdr:rowOff>0</xdr:rowOff>
                  </to>
                </anchor>
              </controlPr>
            </control>
          </mc:Choice>
        </mc:AlternateContent>
        <mc:AlternateContent xmlns:mc="http://schemas.openxmlformats.org/markup-compatibility/2006">
          <mc:Choice Requires="x14">
            <control shapeId="4144" r:id="rId51" name="A06RatioDD04">
              <controlPr defaultSize="0" print="0" autoFill="0" autoLine="0" autoPict="0" macro="[0]!AnalysisRatioSelected">
                <anchor moveWithCells="1">
                  <from>
                    <xdr:col>3</xdr:col>
                    <xdr:colOff>0</xdr:colOff>
                    <xdr:row>36</xdr:row>
                    <xdr:rowOff>0</xdr:rowOff>
                  </from>
                  <to>
                    <xdr:col>5</xdr:col>
                    <xdr:colOff>0</xdr:colOff>
                    <xdr:row>37</xdr:row>
                    <xdr:rowOff>0</xdr:rowOff>
                  </to>
                </anchor>
              </controlPr>
            </control>
          </mc:Choice>
        </mc:AlternateContent>
        <mc:AlternateContent xmlns:mc="http://schemas.openxmlformats.org/markup-compatibility/2006">
          <mc:Choice Requires="x14">
            <control shapeId="4145" r:id="rId52" name="A06RatioDD05">
              <controlPr defaultSize="0" print="0" autoFill="0" autoLine="0" autoPict="0" macro="[0]!AnalysisRatioSelected">
                <anchor moveWithCells="1">
                  <from>
                    <xdr:col>3</xdr:col>
                    <xdr:colOff>0</xdr:colOff>
                    <xdr:row>37</xdr:row>
                    <xdr:rowOff>0</xdr:rowOff>
                  </from>
                  <to>
                    <xdr:col>5</xdr:col>
                    <xdr:colOff>0</xdr:colOff>
                    <xdr:row>38</xdr:row>
                    <xdr:rowOff>0</xdr:rowOff>
                  </to>
                </anchor>
              </controlPr>
            </control>
          </mc:Choice>
        </mc:AlternateContent>
        <mc:AlternateContent xmlns:mc="http://schemas.openxmlformats.org/markup-compatibility/2006">
          <mc:Choice Requires="x14">
            <control shapeId="4146" r:id="rId53" name="A06RatioDD06">
              <controlPr defaultSize="0" print="0" autoFill="0" autoLine="0" autoPict="0" macro="[0]!AnalysisRatioSelected">
                <anchor moveWithCells="1">
                  <from>
                    <xdr:col>3</xdr:col>
                    <xdr:colOff>0</xdr:colOff>
                    <xdr:row>38</xdr:row>
                    <xdr:rowOff>0</xdr:rowOff>
                  </from>
                  <to>
                    <xdr:col>5</xdr:col>
                    <xdr:colOff>0</xdr:colOff>
                    <xdr:row>39</xdr:row>
                    <xdr:rowOff>0</xdr:rowOff>
                  </to>
                </anchor>
              </controlPr>
            </control>
          </mc:Choice>
        </mc:AlternateContent>
        <mc:AlternateContent xmlns:mc="http://schemas.openxmlformats.org/markup-compatibility/2006">
          <mc:Choice Requires="x14">
            <control shapeId="4157" r:id="rId54" name="VariableDD2">
              <controlPr defaultSize="0" print="0" autoFill="0" autoLine="0" autoPict="0" macro="[0]!IncVarAnalysisRefresh">
                <anchor moveWithCells="1">
                  <from>
                    <xdr:col>5</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4158" r:id="rId55" name="ValuePeriodDD2">
              <controlPr defaultSize="0" print="0" autoFill="0" autoLine="0" autoPict="0" macro="[0]!IncVarAnalysisSampleValue">
                <anchor moveWithCells="1">
                  <from>
                    <xdr:col>3</xdr:col>
                    <xdr:colOff>1073150</xdr:colOff>
                    <xdr:row>270</xdr:row>
                    <xdr:rowOff>0</xdr:rowOff>
                  </from>
                  <to>
                    <xdr:col>5</xdr:col>
                    <xdr:colOff>0</xdr:colOff>
                    <xdr:row>271</xdr:row>
                    <xdr:rowOff>0</xdr:rowOff>
                  </to>
                </anchor>
              </controlPr>
            </control>
          </mc:Choice>
        </mc:AlternateContent>
        <mc:AlternateContent xmlns:mc="http://schemas.openxmlformats.org/markup-compatibility/2006">
          <mc:Choice Requires="x14">
            <control shapeId="4159" r:id="rId56" name="AFinYearDD07">
              <controlPr defaultSize="0" print="0" autoFill="0" autoLine="0" autoPict="0" macro="[0]!AnalysisYearChanged">
                <anchor moveWithCells="1">
                  <from>
                    <xdr:col>3</xdr:col>
                    <xdr:colOff>1085850</xdr:colOff>
                    <xdr:row>301</xdr:row>
                    <xdr:rowOff>0</xdr:rowOff>
                  </from>
                  <to>
                    <xdr:col>5</xdr:col>
                    <xdr:colOff>0</xdr:colOff>
                    <xdr:row>302</xdr:row>
                    <xdr:rowOff>0</xdr:rowOff>
                  </to>
                </anchor>
              </controlPr>
            </control>
          </mc:Choice>
        </mc:AlternateContent>
        <mc:AlternateContent xmlns:mc="http://schemas.openxmlformats.org/markup-compatibility/2006">
          <mc:Choice Requires="x14">
            <control shapeId="4160" r:id="rId57" name="AFactorDD7">
              <controlPr defaultSize="0" print="0" autoFill="0" autoLine="0" autoPict="0" macro="[0]!AnalysisFactorChanged">
                <anchor moveWithCells="1">
                  <from>
                    <xdr:col>3</xdr:col>
                    <xdr:colOff>0</xdr:colOff>
                    <xdr:row>271</xdr:row>
                    <xdr:rowOff>0</xdr:rowOff>
                  </from>
                  <to>
                    <xdr:col>5</xdr:col>
                    <xdr:colOff>0</xdr:colOff>
                    <xdr:row>272</xdr:row>
                    <xdr:rowOff>0</xdr:rowOff>
                  </to>
                </anchor>
              </controlPr>
            </control>
          </mc:Choice>
        </mc:AlternateContent>
        <mc:AlternateContent xmlns:mc="http://schemas.openxmlformats.org/markup-compatibility/2006">
          <mc:Choice Requires="x14">
            <control shapeId="4161" r:id="rId58" name="A07RatioDD01">
              <controlPr defaultSize="0" print="0" autoFill="0" autoLine="0" autoPict="0" macro="[0]!AnalysisRatioSelected">
                <anchor moveWithCells="1">
                  <from>
                    <xdr:col>3</xdr:col>
                    <xdr:colOff>0</xdr:colOff>
                    <xdr:row>302</xdr:row>
                    <xdr:rowOff>0</xdr:rowOff>
                  </from>
                  <to>
                    <xdr:col>5</xdr:col>
                    <xdr:colOff>0</xdr:colOff>
                    <xdr:row>303</xdr:row>
                    <xdr:rowOff>0</xdr:rowOff>
                  </to>
                </anchor>
              </controlPr>
            </control>
          </mc:Choice>
        </mc:AlternateContent>
        <mc:AlternateContent xmlns:mc="http://schemas.openxmlformats.org/markup-compatibility/2006">
          <mc:Choice Requires="x14">
            <control shapeId="4162" r:id="rId59" name="A07RatioDD02">
              <controlPr defaultSize="0" print="0" autoFill="0" autoLine="0" autoPict="0" macro="[0]!AnalysisRatioSelected">
                <anchor moveWithCells="1">
                  <from>
                    <xdr:col>3</xdr:col>
                    <xdr:colOff>0</xdr:colOff>
                    <xdr:row>303</xdr:row>
                    <xdr:rowOff>0</xdr:rowOff>
                  </from>
                  <to>
                    <xdr:col>5</xdr:col>
                    <xdr:colOff>0</xdr:colOff>
                    <xdr:row>304</xdr:row>
                    <xdr:rowOff>0</xdr:rowOff>
                  </to>
                </anchor>
              </controlPr>
            </control>
          </mc:Choice>
        </mc:AlternateContent>
        <mc:AlternateContent xmlns:mc="http://schemas.openxmlformats.org/markup-compatibility/2006">
          <mc:Choice Requires="x14">
            <control shapeId="4163" r:id="rId60" name="A07RatioDD03">
              <controlPr defaultSize="0" print="0" autoFill="0" autoLine="0" autoPict="0" macro="[0]!AnalysisRatioSelected">
                <anchor moveWithCells="1">
                  <from>
                    <xdr:col>3</xdr:col>
                    <xdr:colOff>0</xdr:colOff>
                    <xdr:row>304</xdr:row>
                    <xdr:rowOff>0</xdr:rowOff>
                  </from>
                  <to>
                    <xdr:col>5</xdr:col>
                    <xdr:colOff>0</xdr:colOff>
                    <xdr:row>305</xdr:row>
                    <xdr:rowOff>0</xdr:rowOff>
                  </to>
                </anchor>
              </controlPr>
            </control>
          </mc:Choice>
        </mc:AlternateContent>
        <mc:AlternateContent xmlns:mc="http://schemas.openxmlformats.org/markup-compatibility/2006">
          <mc:Choice Requires="x14">
            <control shapeId="4164" r:id="rId61" name="A07RatioDD04">
              <controlPr defaultSize="0" print="0" autoFill="0" autoLine="0" autoPict="0" macro="[0]!AnalysisRatioSelected">
                <anchor moveWithCells="1">
                  <from>
                    <xdr:col>3</xdr:col>
                    <xdr:colOff>0</xdr:colOff>
                    <xdr:row>305</xdr:row>
                    <xdr:rowOff>0</xdr:rowOff>
                  </from>
                  <to>
                    <xdr:col>5</xdr:col>
                    <xdr:colOff>0</xdr:colOff>
                    <xdr:row>306</xdr:row>
                    <xdr:rowOff>0</xdr:rowOff>
                  </to>
                </anchor>
              </controlPr>
            </control>
          </mc:Choice>
        </mc:AlternateContent>
        <mc:AlternateContent xmlns:mc="http://schemas.openxmlformats.org/markup-compatibility/2006">
          <mc:Choice Requires="x14">
            <control shapeId="4165" r:id="rId62" name="A07RatioDD05">
              <controlPr defaultSize="0" print="0" autoFill="0" autoLine="0" autoPict="0" macro="[0]!AnalysisRatioSelected">
                <anchor moveWithCells="1">
                  <from>
                    <xdr:col>3</xdr:col>
                    <xdr:colOff>0</xdr:colOff>
                    <xdr:row>306</xdr:row>
                    <xdr:rowOff>0</xdr:rowOff>
                  </from>
                  <to>
                    <xdr:col>5</xdr:col>
                    <xdr:colOff>0</xdr:colOff>
                    <xdr:row>307</xdr:row>
                    <xdr:rowOff>0</xdr:rowOff>
                  </to>
                </anchor>
              </controlPr>
            </control>
          </mc:Choice>
        </mc:AlternateContent>
        <mc:AlternateContent xmlns:mc="http://schemas.openxmlformats.org/markup-compatibility/2006">
          <mc:Choice Requires="x14">
            <control shapeId="4166" r:id="rId63" name="A07RatioDD06">
              <controlPr defaultSize="0" print="0" autoFill="0" autoLine="0" autoPict="0" macro="[0]!AnalysisRatioSelected">
                <anchor moveWithCells="1">
                  <from>
                    <xdr:col>3</xdr:col>
                    <xdr:colOff>0</xdr:colOff>
                    <xdr:row>307</xdr:row>
                    <xdr:rowOff>0</xdr:rowOff>
                  </from>
                  <to>
                    <xdr:col>5</xdr:col>
                    <xdr:colOff>0</xdr:colOff>
                    <xdr:row>308</xdr:row>
                    <xdr:rowOff>0</xdr:rowOff>
                  </to>
                </anchor>
              </controlPr>
            </control>
          </mc:Choice>
        </mc:AlternateContent>
        <mc:AlternateContent xmlns:mc="http://schemas.openxmlformats.org/markup-compatibility/2006">
          <mc:Choice Requires="x14">
            <control shapeId="4167" r:id="rId64" name="VariableDD3">
              <controlPr defaultSize="0" print="0" autoFill="0" autoLine="0" autoPict="0" macro="[0]!IncVarAnalysisRefresh">
                <anchor moveWithCells="1">
                  <from>
                    <xdr:col>5</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4168" r:id="rId65" name="ValuePeriodDD3">
              <controlPr defaultSize="0" print="0" autoFill="0" autoLine="0" autoPict="0" macro="[0]!IncVarAnalysisSampleValue">
                <anchor moveWithCells="1">
                  <from>
                    <xdr:col>3</xdr:col>
                    <xdr:colOff>1073150</xdr:colOff>
                    <xdr:row>316</xdr:row>
                    <xdr:rowOff>0</xdr:rowOff>
                  </from>
                  <to>
                    <xdr:col>5</xdr:col>
                    <xdr:colOff>0</xdr:colOff>
                    <xdr:row>317</xdr:row>
                    <xdr:rowOff>0</xdr:rowOff>
                  </to>
                </anchor>
              </controlPr>
            </control>
          </mc:Choice>
        </mc:AlternateContent>
        <mc:AlternateContent xmlns:mc="http://schemas.openxmlformats.org/markup-compatibility/2006">
          <mc:Choice Requires="x14">
            <control shapeId="4169" r:id="rId66" name="AFinYearDD08">
              <controlPr defaultSize="0" print="0" autoFill="0" autoLine="0" autoPict="0" macro="[0]!AnalysisYearChanged">
                <anchor moveWithCells="1">
                  <from>
                    <xdr:col>3</xdr:col>
                    <xdr:colOff>1085850</xdr:colOff>
                    <xdr:row>347</xdr:row>
                    <xdr:rowOff>0</xdr:rowOff>
                  </from>
                  <to>
                    <xdr:col>5</xdr:col>
                    <xdr:colOff>0</xdr:colOff>
                    <xdr:row>348</xdr:row>
                    <xdr:rowOff>0</xdr:rowOff>
                  </to>
                </anchor>
              </controlPr>
            </control>
          </mc:Choice>
        </mc:AlternateContent>
        <mc:AlternateContent xmlns:mc="http://schemas.openxmlformats.org/markup-compatibility/2006">
          <mc:Choice Requires="x14">
            <control shapeId="4170" r:id="rId67" name="AFactorDD8">
              <controlPr defaultSize="0" print="0" autoFill="0" autoLine="0" autoPict="0" macro="[0]!AnalysisFactorChanged">
                <anchor moveWithCells="1">
                  <from>
                    <xdr:col>3</xdr:col>
                    <xdr:colOff>0</xdr:colOff>
                    <xdr:row>317</xdr:row>
                    <xdr:rowOff>0</xdr:rowOff>
                  </from>
                  <to>
                    <xdr:col>5</xdr:col>
                    <xdr:colOff>0</xdr:colOff>
                    <xdr:row>318</xdr:row>
                    <xdr:rowOff>0</xdr:rowOff>
                  </to>
                </anchor>
              </controlPr>
            </control>
          </mc:Choice>
        </mc:AlternateContent>
        <mc:AlternateContent xmlns:mc="http://schemas.openxmlformats.org/markup-compatibility/2006">
          <mc:Choice Requires="x14">
            <control shapeId="4171" r:id="rId68" name="A08RatioDD01">
              <controlPr defaultSize="0" print="0" autoFill="0" autoLine="0" autoPict="0" macro="[0]!AnalysisRatioSelected">
                <anchor moveWithCells="1">
                  <from>
                    <xdr:col>3</xdr:col>
                    <xdr:colOff>0</xdr:colOff>
                    <xdr:row>348</xdr:row>
                    <xdr:rowOff>0</xdr:rowOff>
                  </from>
                  <to>
                    <xdr:col>5</xdr:col>
                    <xdr:colOff>0</xdr:colOff>
                    <xdr:row>349</xdr:row>
                    <xdr:rowOff>0</xdr:rowOff>
                  </to>
                </anchor>
              </controlPr>
            </control>
          </mc:Choice>
        </mc:AlternateContent>
        <mc:AlternateContent xmlns:mc="http://schemas.openxmlformats.org/markup-compatibility/2006">
          <mc:Choice Requires="x14">
            <control shapeId="4172" r:id="rId69" name="A08RatioDD02">
              <controlPr defaultSize="0" print="0" autoFill="0" autoLine="0" autoPict="0" macro="[0]!AnalysisRatioSelected">
                <anchor moveWithCells="1">
                  <from>
                    <xdr:col>3</xdr:col>
                    <xdr:colOff>0</xdr:colOff>
                    <xdr:row>349</xdr:row>
                    <xdr:rowOff>0</xdr:rowOff>
                  </from>
                  <to>
                    <xdr:col>5</xdr:col>
                    <xdr:colOff>0</xdr:colOff>
                    <xdr:row>350</xdr:row>
                    <xdr:rowOff>0</xdr:rowOff>
                  </to>
                </anchor>
              </controlPr>
            </control>
          </mc:Choice>
        </mc:AlternateContent>
        <mc:AlternateContent xmlns:mc="http://schemas.openxmlformats.org/markup-compatibility/2006">
          <mc:Choice Requires="x14">
            <control shapeId="4173" r:id="rId70" name="A08RatioDD03">
              <controlPr defaultSize="0" print="0" autoFill="0" autoLine="0" autoPict="0" macro="[0]!AnalysisRatioSelected">
                <anchor moveWithCells="1">
                  <from>
                    <xdr:col>3</xdr:col>
                    <xdr:colOff>0</xdr:colOff>
                    <xdr:row>350</xdr:row>
                    <xdr:rowOff>0</xdr:rowOff>
                  </from>
                  <to>
                    <xdr:col>5</xdr:col>
                    <xdr:colOff>0</xdr:colOff>
                    <xdr:row>351</xdr:row>
                    <xdr:rowOff>0</xdr:rowOff>
                  </to>
                </anchor>
              </controlPr>
            </control>
          </mc:Choice>
        </mc:AlternateContent>
        <mc:AlternateContent xmlns:mc="http://schemas.openxmlformats.org/markup-compatibility/2006">
          <mc:Choice Requires="x14">
            <control shapeId="4174" r:id="rId71" name="A08RatioDD04">
              <controlPr defaultSize="0" print="0" autoFill="0" autoLine="0" autoPict="0" macro="[0]!AnalysisRatioSelected">
                <anchor moveWithCells="1">
                  <from>
                    <xdr:col>3</xdr:col>
                    <xdr:colOff>0</xdr:colOff>
                    <xdr:row>351</xdr:row>
                    <xdr:rowOff>0</xdr:rowOff>
                  </from>
                  <to>
                    <xdr:col>5</xdr:col>
                    <xdr:colOff>0</xdr:colOff>
                    <xdr:row>352</xdr:row>
                    <xdr:rowOff>0</xdr:rowOff>
                  </to>
                </anchor>
              </controlPr>
            </control>
          </mc:Choice>
        </mc:AlternateContent>
        <mc:AlternateContent xmlns:mc="http://schemas.openxmlformats.org/markup-compatibility/2006">
          <mc:Choice Requires="x14">
            <control shapeId="4175" r:id="rId72" name="A08RatioDD05">
              <controlPr defaultSize="0" print="0" autoFill="0" autoLine="0" autoPict="0" macro="[0]!AnalysisRatioSelected">
                <anchor moveWithCells="1">
                  <from>
                    <xdr:col>3</xdr:col>
                    <xdr:colOff>0</xdr:colOff>
                    <xdr:row>352</xdr:row>
                    <xdr:rowOff>0</xdr:rowOff>
                  </from>
                  <to>
                    <xdr:col>5</xdr:col>
                    <xdr:colOff>0</xdr:colOff>
                    <xdr:row>353</xdr:row>
                    <xdr:rowOff>0</xdr:rowOff>
                  </to>
                </anchor>
              </controlPr>
            </control>
          </mc:Choice>
        </mc:AlternateContent>
        <mc:AlternateContent xmlns:mc="http://schemas.openxmlformats.org/markup-compatibility/2006">
          <mc:Choice Requires="x14">
            <control shapeId="4176" r:id="rId73" name="A08RatioDD06">
              <controlPr defaultSize="0" print="0" autoFill="0" autoLine="0" autoPict="0" macro="[0]!AnalysisRatioSelected">
                <anchor moveWithCells="1">
                  <from>
                    <xdr:col>3</xdr:col>
                    <xdr:colOff>0</xdr:colOff>
                    <xdr:row>353</xdr:row>
                    <xdr:rowOff>0</xdr:rowOff>
                  </from>
                  <to>
                    <xdr:col>5</xdr:col>
                    <xdr:colOff>0</xdr:colOff>
                    <xdr:row>354</xdr:row>
                    <xdr:rowOff>0</xdr:rowOff>
                  </to>
                </anchor>
              </controlPr>
            </control>
          </mc:Choice>
        </mc:AlternateContent>
        <mc:AlternateContent xmlns:mc="http://schemas.openxmlformats.org/markup-compatibility/2006">
          <mc:Choice Requires="x14">
            <control shapeId="4177" r:id="rId74" name="VariableDD4">
              <controlPr defaultSize="0" print="0" autoFill="0" autoLine="0" autoPict="0" macro="[0]!IncVarAnalysisRefresh">
                <anchor moveWithCells="1">
                  <from>
                    <xdr:col>5</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4178" r:id="rId75" name="ValuePeriodDD4">
              <controlPr defaultSize="0" print="0" autoFill="0" autoLine="0" autoPict="0" macro="[0]!IncVarAnalysisSampleValue">
                <anchor moveWithCells="1">
                  <from>
                    <xdr:col>3</xdr:col>
                    <xdr:colOff>1073150</xdr:colOff>
                    <xdr:row>362</xdr:row>
                    <xdr:rowOff>0</xdr:rowOff>
                  </from>
                  <to>
                    <xdr:col>5</xdr:col>
                    <xdr:colOff>0</xdr:colOff>
                    <xdr:row>363</xdr:row>
                    <xdr:rowOff>0</xdr:rowOff>
                  </to>
                </anchor>
              </controlPr>
            </control>
          </mc:Choice>
        </mc:AlternateContent>
        <mc:AlternateContent xmlns:mc="http://schemas.openxmlformats.org/markup-compatibility/2006">
          <mc:Choice Requires="x14">
            <control shapeId="4179" r:id="rId76" name="AFinYearDD09">
              <controlPr defaultSize="0" print="0" autoFill="0" autoLine="0" autoPict="0" macro="[0]!AnalysisYearChanged">
                <anchor moveWithCells="1">
                  <from>
                    <xdr:col>3</xdr:col>
                    <xdr:colOff>1085850</xdr:colOff>
                    <xdr:row>393</xdr:row>
                    <xdr:rowOff>0</xdr:rowOff>
                  </from>
                  <to>
                    <xdr:col>5</xdr:col>
                    <xdr:colOff>0</xdr:colOff>
                    <xdr:row>394</xdr:row>
                    <xdr:rowOff>0</xdr:rowOff>
                  </to>
                </anchor>
              </controlPr>
            </control>
          </mc:Choice>
        </mc:AlternateContent>
        <mc:AlternateContent xmlns:mc="http://schemas.openxmlformats.org/markup-compatibility/2006">
          <mc:Choice Requires="x14">
            <control shapeId="4180" r:id="rId77" name="AFactorDD9">
              <controlPr defaultSize="0" print="0" autoFill="0" autoLine="0" autoPict="0" macro="[0]!AnalysisFactorChanged">
                <anchor moveWithCells="1">
                  <from>
                    <xdr:col>3</xdr:col>
                    <xdr:colOff>0</xdr:colOff>
                    <xdr:row>363</xdr:row>
                    <xdr:rowOff>0</xdr:rowOff>
                  </from>
                  <to>
                    <xdr:col>5</xdr:col>
                    <xdr:colOff>0</xdr:colOff>
                    <xdr:row>364</xdr:row>
                    <xdr:rowOff>0</xdr:rowOff>
                  </to>
                </anchor>
              </controlPr>
            </control>
          </mc:Choice>
        </mc:AlternateContent>
        <mc:AlternateContent xmlns:mc="http://schemas.openxmlformats.org/markup-compatibility/2006">
          <mc:Choice Requires="x14">
            <control shapeId="4181" r:id="rId78" name="A09RatioDD01">
              <controlPr defaultSize="0" print="0" autoFill="0" autoLine="0" autoPict="0" macro="[0]!AnalysisRatioSelected">
                <anchor moveWithCells="1">
                  <from>
                    <xdr:col>3</xdr:col>
                    <xdr:colOff>0</xdr:colOff>
                    <xdr:row>394</xdr:row>
                    <xdr:rowOff>0</xdr:rowOff>
                  </from>
                  <to>
                    <xdr:col>5</xdr:col>
                    <xdr:colOff>0</xdr:colOff>
                    <xdr:row>395</xdr:row>
                    <xdr:rowOff>0</xdr:rowOff>
                  </to>
                </anchor>
              </controlPr>
            </control>
          </mc:Choice>
        </mc:AlternateContent>
        <mc:AlternateContent xmlns:mc="http://schemas.openxmlformats.org/markup-compatibility/2006">
          <mc:Choice Requires="x14">
            <control shapeId="4182" r:id="rId79" name="A09RatioDD02">
              <controlPr defaultSize="0" print="0" autoFill="0" autoLine="0" autoPict="0" macro="[0]!AnalysisRatioSelected">
                <anchor moveWithCells="1">
                  <from>
                    <xdr:col>3</xdr:col>
                    <xdr:colOff>0</xdr:colOff>
                    <xdr:row>395</xdr:row>
                    <xdr:rowOff>0</xdr:rowOff>
                  </from>
                  <to>
                    <xdr:col>5</xdr:col>
                    <xdr:colOff>0</xdr:colOff>
                    <xdr:row>396</xdr:row>
                    <xdr:rowOff>0</xdr:rowOff>
                  </to>
                </anchor>
              </controlPr>
            </control>
          </mc:Choice>
        </mc:AlternateContent>
        <mc:AlternateContent xmlns:mc="http://schemas.openxmlformats.org/markup-compatibility/2006">
          <mc:Choice Requires="x14">
            <control shapeId="4183" r:id="rId80" name="A09RatioDD03">
              <controlPr defaultSize="0" print="0" autoFill="0" autoLine="0" autoPict="0" macro="[0]!AnalysisRatioSelected">
                <anchor moveWithCells="1">
                  <from>
                    <xdr:col>3</xdr:col>
                    <xdr:colOff>0</xdr:colOff>
                    <xdr:row>396</xdr:row>
                    <xdr:rowOff>0</xdr:rowOff>
                  </from>
                  <to>
                    <xdr:col>5</xdr:col>
                    <xdr:colOff>0</xdr:colOff>
                    <xdr:row>397</xdr:row>
                    <xdr:rowOff>0</xdr:rowOff>
                  </to>
                </anchor>
              </controlPr>
            </control>
          </mc:Choice>
        </mc:AlternateContent>
        <mc:AlternateContent xmlns:mc="http://schemas.openxmlformats.org/markup-compatibility/2006">
          <mc:Choice Requires="x14">
            <control shapeId="4184" r:id="rId81" name="A09RatioDD04">
              <controlPr defaultSize="0" print="0" autoFill="0" autoLine="0" autoPict="0" macro="[0]!AnalysisRatioSelected">
                <anchor moveWithCells="1">
                  <from>
                    <xdr:col>3</xdr:col>
                    <xdr:colOff>0</xdr:colOff>
                    <xdr:row>397</xdr:row>
                    <xdr:rowOff>0</xdr:rowOff>
                  </from>
                  <to>
                    <xdr:col>5</xdr:col>
                    <xdr:colOff>0</xdr:colOff>
                    <xdr:row>398</xdr:row>
                    <xdr:rowOff>0</xdr:rowOff>
                  </to>
                </anchor>
              </controlPr>
            </control>
          </mc:Choice>
        </mc:AlternateContent>
        <mc:AlternateContent xmlns:mc="http://schemas.openxmlformats.org/markup-compatibility/2006">
          <mc:Choice Requires="x14">
            <control shapeId="4185" r:id="rId82" name="A09RatioDD05">
              <controlPr defaultSize="0" print="0" autoFill="0" autoLine="0" autoPict="0" macro="[0]!AnalysisRatioSelected">
                <anchor moveWithCells="1">
                  <from>
                    <xdr:col>3</xdr:col>
                    <xdr:colOff>0</xdr:colOff>
                    <xdr:row>398</xdr:row>
                    <xdr:rowOff>0</xdr:rowOff>
                  </from>
                  <to>
                    <xdr:col>5</xdr:col>
                    <xdr:colOff>0</xdr:colOff>
                    <xdr:row>399</xdr:row>
                    <xdr:rowOff>0</xdr:rowOff>
                  </to>
                </anchor>
              </controlPr>
            </control>
          </mc:Choice>
        </mc:AlternateContent>
        <mc:AlternateContent xmlns:mc="http://schemas.openxmlformats.org/markup-compatibility/2006">
          <mc:Choice Requires="x14">
            <control shapeId="4186" r:id="rId83" name="A09RatioDD06">
              <controlPr defaultSize="0" print="0" autoFill="0" autoLine="0" autoPict="0" macro="[0]!AnalysisRatioSelected">
                <anchor moveWithCells="1">
                  <from>
                    <xdr:col>3</xdr:col>
                    <xdr:colOff>0</xdr:colOff>
                    <xdr:row>399</xdr:row>
                    <xdr:rowOff>0</xdr:rowOff>
                  </from>
                  <to>
                    <xdr:col>5</xdr:col>
                    <xdr:colOff>0</xdr:colOff>
                    <xdr:row>400</xdr:row>
                    <xdr:rowOff>0</xdr:rowOff>
                  </to>
                </anchor>
              </controlPr>
            </control>
          </mc:Choice>
        </mc:AlternateContent>
        <mc:AlternateContent xmlns:mc="http://schemas.openxmlformats.org/markup-compatibility/2006">
          <mc:Choice Requires="x14">
            <control shapeId="4187" r:id="rId84" name="VariableDD5">
              <controlPr defaultSize="0" print="0" autoFill="0" autoLine="0" autoPict="0" macro="[0]!IncVarAnalysisRefresh">
                <anchor moveWithCells="1">
                  <from>
                    <xdr:col>5</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4188" r:id="rId85" name="ValuePeriodDD5">
              <controlPr defaultSize="0" print="0" autoFill="0" autoLine="0" autoPict="0" macro="[0]!IncVarAnalysisSampleValue">
                <anchor moveWithCells="1">
                  <from>
                    <xdr:col>3</xdr:col>
                    <xdr:colOff>1073150</xdr:colOff>
                    <xdr:row>408</xdr:row>
                    <xdr:rowOff>0</xdr:rowOff>
                  </from>
                  <to>
                    <xdr:col>5</xdr:col>
                    <xdr:colOff>0</xdr:colOff>
                    <xdr:row>409</xdr:row>
                    <xdr:rowOff>0</xdr:rowOff>
                  </to>
                </anchor>
              </controlPr>
            </control>
          </mc:Choice>
        </mc:AlternateContent>
        <mc:AlternateContent xmlns:mc="http://schemas.openxmlformats.org/markup-compatibility/2006">
          <mc:Choice Requires="x14">
            <control shapeId="4189" r:id="rId86" name="AFinYearDD10">
              <controlPr defaultSize="0" print="0" autoFill="0" autoLine="0" autoPict="0" macro="[0]!AnalysisYearChanged">
                <anchor moveWithCells="1">
                  <from>
                    <xdr:col>3</xdr:col>
                    <xdr:colOff>1085850</xdr:colOff>
                    <xdr:row>439</xdr:row>
                    <xdr:rowOff>0</xdr:rowOff>
                  </from>
                  <to>
                    <xdr:col>5</xdr:col>
                    <xdr:colOff>0</xdr:colOff>
                    <xdr:row>440</xdr:row>
                    <xdr:rowOff>0</xdr:rowOff>
                  </to>
                </anchor>
              </controlPr>
            </control>
          </mc:Choice>
        </mc:AlternateContent>
        <mc:AlternateContent xmlns:mc="http://schemas.openxmlformats.org/markup-compatibility/2006">
          <mc:Choice Requires="x14">
            <control shapeId="4190" r:id="rId87" name="AFactorDD10">
              <controlPr defaultSize="0" print="0" autoFill="0" autoLine="0" autoPict="0" macro="[0]!AnalysisFactorChanged">
                <anchor moveWithCells="1">
                  <from>
                    <xdr:col>3</xdr:col>
                    <xdr:colOff>0</xdr:colOff>
                    <xdr:row>409</xdr:row>
                    <xdr:rowOff>0</xdr:rowOff>
                  </from>
                  <to>
                    <xdr:col>5</xdr:col>
                    <xdr:colOff>0</xdr:colOff>
                    <xdr:row>410</xdr:row>
                    <xdr:rowOff>0</xdr:rowOff>
                  </to>
                </anchor>
              </controlPr>
            </control>
          </mc:Choice>
        </mc:AlternateContent>
        <mc:AlternateContent xmlns:mc="http://schemas.openxmlformats.org/markup-compatibility/2006">
          <mc:Choice Requires="x14">
            <control shapeId="4191" r:id="rId88" name="A10RatioDD01">
              <controlPr defaultSize="0" print="0" autoFill="0" autoLine="0" autoPict="0" macro="[0]!AnalysisRatioSelected">
                <anchor moveWithCells="1">
                  <from>
                    <xdr:col>3</xdr:col>
                    <xdr:colOff>0</xdr:colOff>
                    <xdr:row>440</xdr:row>
                    <xdr:rowOff>0</xdr:rowOff>
                  </from>
                  <to>
                    <xdr:col>5</xdr:col>
                    <xdr:colOff>0</xdr:colOff>
                    <xdr:row>441</xdr:row>
                    <xdr:rowOff>0</xdr:rowOff>
                  </to>
                </anchor>
              </controlPr>
            </control>
          </mc:Choice>
        </mc:AlternateContent>
        <mc:AlternateContent xmlns:mc="http://schemas.openxmlformats.org/markup-compatibility/2006">
          <mc:Choice Requires="x14">
            <control shapeId="4192" r:id="rId89" name="A10RatioDD02">
              <controlPr defaultSize="0" print="0" autoFill="0" autoLine="0" autoPict="0" macro="[0]!AnalysisRatioSelected">
                <anchor moveWithCells="1">
                  <from>
                    <xdr:col>3</xdr:col>
                    <xdr:colOff>0</xdr:colOff>
                    <xdr:row>441</xdr:row>
                    <xdr:rowOff>0</xdr:rowOff>
                  </from>
                  <to>
                    <xdr:col>5</xdr:col>
                    <xdr:colOff>0</xdr:colOff>
                    <xdr:row>442</xdr:row>
                    <xdr:rowOff>0</xdr:rowOff>
                  </to>
                </anchor>
              </controlPr>
            </control>
          </mc:Choice>
        </mc:AlternateContent>
        <mc:AlternateContent xmlns:mc="http://schemas.openxmlformats.org/markup-compatibility/2006">
          <mc:Choice Requires="x14">
            <control shapeId="4193" r:id="rId90" name="A10RatioDD03">
              <controlPr defaultSize="0" print="0" autoFill="0" autoLine="0" autoPict="0" macro="[0]!AnalysisRatioSelected">
                <anchor moveWithCells="1">
                  <from>
                    <xdr:col>3</xdr:col>
                    <xdr:colOff>0</xdr:colOff>
                    <xdr:row>442</xdr:row>
                    <xdr:rowOff>0</xdr:rowOff>
                  </from>
                  <to>
                    <xdr:col>5</xdr:col>
                    <xdr:colOff>0</xdr:colOff>
                    <xdr:row>443</xdr:row>
                    <xdr:rowOff>0</xdr:rowOff>
                  </to>
                </anchor>
              </controlPr>
            </control>
          </mc:Choice>
        </mc:AlternateContent>
        <mc:AlternateContent xmlns:mc="http://schemas.openxmlformats.org/markup-compatibility/2006">
          <mc:Choice Requires="x14">
            <control shapeId="4194" r:id="rId91" name="A10RatioDD04">
              <controlPr defaultSize="0" print="0" autoFill="0" autoLine="0" autoPict="0" macro="[0]!AnalysisRatioSelected">
                <anchor moveWithCells="1">
                  <from>
                    <xdr:col>3</xdr:col>
                    <xdr:colOff>0</xdr:colOff>
                    <xdr:row>443</xdr:row>
                    <xdr:rowOff>0</xdr:rowOff>
                  </from>
                  <to>
                    <xdr:col>5</xdr:col>
                    <xdr:colOff>0</xdr:colOff>
                    <xdr:row>444</xdr:row>
                    <xdr:rowOff>0</xdr:rowOff>
                  </to>
                </anchor>
              </controlPr>
            </control>
          </mc:Choice>
        </mc:AlternateContent>
        <mc:AlternateContent xmlns:mc="http://schemas.openxmlformats.org/markup-compatibility/2006">
          <mc:Choice Requires="x14">
            <control shapeId="4195" r:id="rId92" name="A10RatioDD05">
              <controlPr defaultSize="0" print="0" autoFill="0" autoLine="0" autoPict="0" macro="[0]!AnalysisRatioSelected">
                <anchor moveWithCells="1">
                  <from>
                    <xdr:col>3</xdr:col>
                    <xdr:colOff>0</xdr:colOff>
                    <xdr:row>444</xdr:row>
                    <xdr:rowOff>0</xdr:rowOff>
                  </from>
                  <to>
                    <xdr:col>5</xdr:col>
                    <xdr:colOff>0</xdr:colOff>
                    <xdr:row>445</xdr:row>
                    <xdr:rowOff>0</xdr:rowOff>
                  </to>
                </anchor>
              </controlPr>
            </control>
          </mc:Choice>
        </mc:AlternateContent>
        <mc:AlternateContent xmlns:mc="http://schemas.openxmlformats.org/markup-compatibility/2006">
          <mc:Choice Requires="x14">
            <control shapeId="4196" r:id="rId93" name="A10RatioDD06">
              <controlPr defaultSize="0" print="0" autoFill="0" autoLine="0" autoPict="0" macro="[0]!AnalysisRatioSelected">
                <anchor moveWithCells="1">
                  <from>
                    <xdr:col>3</xdr:col>
                    <xdr:colOff>0</xdr:colOff>
                    <xdr:row>445</xdr:row>
                    <xdr:rowOff>0</xdr:rowOff>
                  </from>
                  <to>
                    <xdr:col>5</xdr:col>
                    <xdr:colOff>0</xdr:colOff>
                    <xdr:row>446</xdr:row>
                    <xdr:rowOff>0</xdr:rowOff>
                  </to>
                </anchor>
              </controlPr>
            </control>
          </mc:Choice>
        </mc:AlternateContent>
        <mc:AlternateContent xmlns:mc="http://schemas.openxmlformats.org/markup-compatibility/2006">
          <mc:Choice Requires="x14">
            <control shapeId="4197" r:id="rId94" name="VariableDD6">
              <controlPr defaultSize="0" print="0" autoFill="0" autoLine="0" autoPict="0" macro="[0]!IncVarAnalysisRefresh">
                <anchor moveWithCells="1">
                  <from>
                    <xdr:col>5</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4198" r:id="rId95" name="ValuePeriodDD6">
              <controlPr defaultSize="0" print="0" autoFill="0" autoLine="0" autoPict="0" macro="[0]!IncVarAnalysisSampleValue">
                <anchor moveWithCells="1">
                  <from>
                    <xdr:col>3</xdr:col>
                    <xdr:colOff>1073150</xdr:colOff>
                    <xdr:row>454</xdr:row>
                    <xdr:rowOff>0</xdr:rowOff>
                  </from>
                  <to>
                    <xdr:col>5</xdr:col>
                    <xdr:colOff>0</xdr:colOff>
                    <xdr:row>455</xdr:row>
                    <xdr:rowOff>0</xdr:rowOff>
                  </to>
                </anchor>
              </controlPr>
            </control>
          </mc:Choice>
        </mc:AlternateContent>
        <mc:AlternateContent xmlns:mc="http://schemas.openxmlformats.org/markup-compatibility/2006">
          <mc:Choice Requires="x14">
            <control shapeId="4199" r:id="rId96" name="AFinYearDD11">
              <controlPr defaultSize="0" print="0" autoFill="0" autoLine="0" autoPict="0" macro="[0]!AnalysisYearChanged">
                <anchor moveWithCells="1">
                  <from>
                    <xdr:col>3</xdr:col>
                    <xdr:colOff>1085850</xdr:colOff>
                    <xdr:row>485</xdr:row>
                    <xdr:rowOff>0</xdr:rowOff>
                  </from>
                  <to>
                    <xdr:col>5</xdr:col>
                    <xdr:colOff>0</xdr:colOff>
                    <xdr:row>486</xdr:row>
                    <xdr:rowOff>0</xdr:rowOff>
                  </to>
                </anchor>
              </controlPr>
            </control>
          </mc:Choice>
        </mc:AlternateContent>
        <mc:AlternateContent xmlns:mc="http://schemas.openxmlformats.org/markup-compatibility/2006">
          <mc:Choice Requires="x14">
            <control shapeId="4200" r:id="rId97" name="AFactorDD11">
              <controlPr defaultSize="0" print="0" autoFill="0" autoLine="0" autoPict="0" macro="[0]!AnalysisFactorChanged">
                <anchor moveWithCells="1">
                  <from>
                    <xdr:col>3</xdr:col>
                    <xdr:colOff>0</xdr:colOff>
                    <xdr:row>455</xdr:row>
                    <xdr:rowOff>0</xdr:rowOff>
                  </from>
                  <to>
                    <xdr:col>5</xdr:col>
                    <xdr:colOff>0</xdr:colOff>
                    <xdr:row>456</xdr:row>
                    <xdr:rowOff>0</xdr:rowOff>
                  </to>
                </anchor>
              </controlPr>
            </control>
          </mc:Choice>
        </mc:AlternateContent>
        <mc:AlternateContent xmlns:mc="http://schemas.openxmlformats.org/markup-compatibility/2006">
          <mc:Choice Requires="x14">
            <control shapeId="4201" r:id="rId98" name="A11RatioDD01">
              <controlPr defaultSize="0" print="0" autoFill="0" autoLine="0" autoPict="0" macro="[0]!AnalysisRatioSelected">
                <anchor moveWithCells="1">
                  <from>
                    <xdr:col>3</xdr:col>
                    <xdr:colOff>0</xdr:colOff>
                    <xdr:row>486</xdr:row>
                    <xdr:rowOff>0</xdr:rowOff>
                  </from>
                  <to>
                    <xdr:col>5</xdr:col>
                    <xdr:colOff>0</xdr:colOff>
                    <xdr:row>487</xdr:row>
                    <xdr:rowOff>0</xdr:rowOff>
                  </to>
                </anchor>
              </controlPr>
            </control>
          </mc:Choice>
        </mc:AlternateContent>
        <mc:AlternateContent xmlns:mc="http://schemas.openxmlformats.org/markup-compatibility/2006">
          <mc:Choice Requires="x14">
            <control shapeId="4202" r:id="rId99" name="A11RatioDD02">
              <controlPr defaultSize="0" print="0" autoFill="0" autoLine="0" autoPict="0" macro="[0]!AnalysisRatioSelected">
                <anchor moveWithCells="1">
                  <from>
                    <xdr:col>3</xdr:col>
                    <xdr:colOff>0</xdr:colOff>
                    <xdr:row>487</xdr:row>
                    <xdr:rowOff>0</xdr:rowOff>
                  </from>
                  <to>
                    <xdr:col>5</xdr:col>
                    <xdr:colOff>0</xdr:colOff>
                    <xdr:row>488</xdr:row>
                    <xdr:rowOff>0</xdr:rowOff>
                  </to>
                </anchor>
              </controlPr>
            </control>
          </mc:Choice>
        </mc:AlternateContent>
        <mc:AlternateContent xmlns:mc="http://schemas.openxmlformats.org/markup-compatibility/2006">
          <mc:Choice Requires="x14">
            <control shapeId="4203" r:id="rId100" name="A11RatioDD03">
              <controlPr defaultSize="0" print="0" autoFill="0" autoLine="0" autoPict="0" macro="[0]!AnalysisRatioSelected">
                <anchor moveWithCells="1">
                  <from>
                    <xdr:col>3</xdr:col>
                    <xdr:colOff>0</xdr:colOff>
                    <xdr:row>488</xdr:row>
                    <xdr:rowOff>0</xdr:rowOff>
                  </from>
                  <to>
                    <xdr:col>5</xdr:col>
                    <xdr:colOff>0</xdr:colOff>
                    <xdr:row>489</xdr:row>
                    <xdr:rowOff>0</xdr:rowOff>
                  </to>
                </anchor>
              </controlPr>
            </control>
          </mc:Choice>
        </mc:AlternateContent>
        <mc:AlternateContent xmlns:mc="http://schemas.openxmlformats.org/markup-compatibility/2006">
          <mc:Choice Requires="x14">
            <control shapeId="4204" r:id="rId101" name="A11RatioDD04">
              <controlPr defaultSize="0" print="0" autoFill="0" autoLine="0" autoPict="0" macro="[0]!AnalysisRatioSelected">
                <anchor moveWithCells="1">
                  <from>
                    <xdr:col>3</xdr:col>
                    <xdr:colOff>0</xdr:colOff>
                    <xdr:row>489</xdr:row>
                    <xdr:rowOff>0</xdr:rowOff>
                  </from>
                  <to>
                    <xdr:col>5</xdr:col>
                    <xdr:colOff>0</xdr:colOff>
                    <xdr:row>490</xdr:row>
                    <xdr:rowOff>0</xdr:rowOff>
                  </to>
                </anchor>
              </controlPr>
            </control>
          </mc:Choice>
        </mc:AlternateContent>
        <mc:AlternateContent xmlns:mc="http://schemas.openxmlformats.org/markup-compatibility/2006">
          <mc:Choice Requires="x14">
            <control shapeId="4205" r:id="rId102" name="A11RatioDD05">
              <controlPr defaultSize="0" print="0" autoFill="0" autoLine="0" autoPict="0" macro="[0]!AnalysisRatioSelected">
                <anchor moveWithCells="1">
                  <from>
                    <xdr:col>3</xdr:col>
                    <xdr:colOff>0</xdr:colOff>
                    <xdr:row>490</xdr:row>
                    <xdr:rowOff>0</xdr:rowOff>
                  </from>
                  <to>
                    <xdr:col>5</xdr:col>
                    <xdr:colOff>0</xdr:colOff>
                    <xdr:row>491</xdr:row>
                    <xdr:rowOff>0</xdr:rowOff>
                  </to>
                </anchor>
              </controlPr>
            </control>
          </mc:Choice>
        </mc:AlternateContent>
        <mc:AlternateContent xmlns:mc="http://schemas.openxmlformats.org/markup-compatibility/2006">
          <mc:Choice Requires="x14">
            <control shapeId="4206" r:id="rId103" name="A11RatioDD06">
              <controlPr defaultSize="0" print="0" autoFill="0" autoLine="0" autoPict="0" macro="[0]!AnalysisRatioSelected">
                <anchor moveWithCells="1">
                  <from>
                    <xdr:col>3</xdr:col>
                    <xdr:colOff>0</xdr:colOff>
                    <xdr:row>491</xdr:row>
                    <xdr:rowOff>0</xdr:rowOff>
                  </from>
                  <to>
                    <xdr:col>5</xdr:col>
                    <xdr:colOff>0</xdr:colOff>
                    <xdr:row>492</xdr:row>
                    <xdr:rowOff>0</xdr:rowOff>
                  </to>
                </anchor>
              </controlPr>
            </control>
          </mc:Choice>
        </mc:AlternateContent>
        <mc:AlternateContent xmlns:mc="http://schemas.openxmlformats.org/markup-compatibility/2006">
          <mc:Choice Requires="x14">
            <control shapeId="4207" r:id="rId104" name="chkVarRows01">
              <controlPr defaultSize="0" autoFill="0" autoLine="0" autoPict="0">
                <anchor moveWithCells="1">
                  <from>
                    <xdr:col>12</xdr:col>
                    <xdr:colOff>0</xdr:colOff>
                    <xdr:row>222</xdr:row>
                    <xdr:rowOff>0</xdr:rowOff>
                  </from>
                  <to>
                    <xdr:col>12</xdr:col>
                    <xdr:colOff>381000</xdr:colOff>
                    <xdr:row>223</xdr:row>
                    <xdr:rowOff>12700</xdr:rowOff>
                  </to>
                </anchor>
              </controlPr>
            </control>
          </mc:Choice>
        </mc:AlternateContent>
        <mc:AlternateContent xmlns:mc="http://schemas.openxmlformats.org/markup-compatibility/2006">
          <mc:Choice Requires="x14">
            <control shapeId="4218" r:id="rId105" name="Check Box 122">
              <controlPr defaultSize="0" autoFill="0" autoLine="0" autoPict="0">
                <anchor moveWithCells="1">
                  <from>
                    <xdr:col>12</xdr:col>
                    <xdr:colOff>0</xdr:colOff>
                    <xdr:row>268</xdr:row>
                    <xdr:rowOff>0</xdr:rowOff>
                  </from>
                  <to>
                    <xdr:col>12</xdr:col>
                    <xdr:colOff>381000</xdr:colOff>
                    <xdr:row>269</xdr:row>
                    <xdr:rowOff>12700</xdr:rowOff>
                  </to>
                </anchor>
              </controlPr>
            </control>
          </mc:Choice>
        </mc:AlternateContent>
        <mc:AlternateContent xmlns:mc="http://schemas.openxmlformats.org/markup-compatibility/2006">
          <mc:Choice Requires="x14">
            <control shapeId="4219" r:id="rId106" name="Check Box 123">
              <controlPr defaultSize="0" autoFill="0" autoLine="0" autoPict="0">
                <anchor moveWithCells="1">
                  <from>
                    <xdr:col>12</xdr:col>
                    <xdr:colOff>0</xdr:colOff>
                    <xdr:row>314</xdr:row>
                    <xdr:rowOff>0</xdr:rowOff>
                  </from>
                  <to>
                    <xdr:col>12</xdr:col>
                    <xdr:colOff>381000</xdr:colOff>
                    <xdr:row>315</xdr:row>
                    <xdr:rowOff>12700</xdr:rowOff>
                  </to>
                </anchor>
              </controlPr>
            </control>
          </mc:Choice>
        </mc:AlternateContent>
        <mc:AlternateContent xmlns:mc="http://schemas.openxmlformats.org/markup-compatibility/2006">
          <mc:Choice Requires="x14">
            <control shapeId="4220" r:id="rId107" name="Check Box 124">
              <controlPr defaultSize="0" autoFill="0" autoLine="0" autoPict="0">
                <anchor moveWithCells="1">
                  <from>
                    <xdr:col>12</xdr:col>
                    <xdr:colOff>0</xdr:colOff>
                    <xdr:row>360</xdr:row>
                    <xdr:rowOff>0</xdr:rowOff>
                  </from>
                  <to>
                    <xdr:col>12</xdr:col>
                    <xdr:colOff>381000</xdr:colOff>
                    <xdr:row>361</xdr:row>
                    <xdr:rowOff>12700</xdr:rowOff>
                  </to>
                </anchor>
              </controlPr>
            </control>
          </mc:Choice>
        </mc:AlternateContent>
        <mc:AlternateContent xmlns:mc="http://schemas.openxmlformats.org/markup-compatibility/2006">
          <mc:Choice Requires="x14">
            <control shapeId="4221" r:id="rId108" name="Check Box 125">
              <controlPr defaultSize="0" autoFill="0" autoLine="0" autoPict="0">
                <anchor moveWithCells="1">
                  <from>
                    <xdr:col>12</xdr:col>
                    <xdr:colOff>0</xdr:colOff>
                    <xdr:row>406</xdr:row>
                    <xdr:rowOff>0</xdr:rowOff>
                  </from>
                  <to>
                    <xdr:col>12</xdr:col>
                    <xdr:colOff>381000</xdr:colOff>
                    <xdr:row>407</xdr:row>
                    <xdr:rowOff>12700</xdr:rowOff>
                  </to>
                </anchor>
              </controlPr>
            </control>
          </mc:Choice>
        </mc:AlternateContent>
        <mc:AlternateContent xmlns:mc="http://schemas.openxmlformats.org/markup-compatibility/2006">
          <mc:Choice Requires="x14">
            <control shapeId="4222" r:id="rId109" name="Check Box 126">
              <controlPr defaultSize="0" autoFill="0" autoLine="0" autoPict="0">
                <anchor moveWithCells="1">
                  <from>
                    <xdr:col>12</xdr:col>
                    <xdr:colOff>0</xdr:colOff>
                    <xdr:row>452</xdr:row>
                    <xdr:rowOff>0</xdr:rowOff>
                  </from>
                  <to>
                    <xdr:col>12</xdr:col>
                    <xdr:colOff>381000</xdr:colOff>
                    <xdr:row>453</xdr:row>
                    <xdr:rowOff>12700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3">
    <pageSetUpPr autoPageBreaks="0"/>
  </sheetPr>
  <dimension ref="A1:D120"/>
  <sheetViews>
    <sheetView topLeftCell="A52" workbookViewId="0">
      <selection activeCell="C85" sqref="C85"/>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4863</v>
      </c>
    </row>
    <row r="5" spans="1:4" ht="12.75" customHeight="1" x14ac:dyDescent="0.35">
      <c r="A5"/>
      <c r="B5"/>
    </row>
    <row r="6" spans="1:4" ht="12.75" customHeight="1" x14ac:dyDescent="0.35">
      <c r="A6"/>
      <c r="B6"/>
      <c r="C6" s="159" t="s">
        <v>3497</v>
      </c>
    </row>
    <row r="7" spans="1:4" ht="12.75" customHeight="1" x14ac:dyDescent="0.35">
      <c r="A7"/>
      <c r="B7"/>
    </row>
    <row r="8" spans="1:4" ht="12.75" customHeight="1" x14ac:dyDescent="0.35">
      <c r="A8"/>
      <c r="B8"/>
      <c r="C8" s="97" t="s">
        <v>4864</v>
      </c>
    </row>
    <row r="9" spans="1:4" ht="12.75" customHeight="1" x14ac:dyDescent="0.35">
      <c r="A9"/>
      <c r="B9"/>
      <c r="C9" s="97" t="s">
        <v>4865</v>
      </c>
    </row>
    <row r="10" spans="1:4" ht="12.75" customHeight="1" x14ac:dyDescent="0.35">
      <c r="A10"/>
      <c r="B10"/>
      <c r="C10" s="97" t="s">
        <v>4866</v>
      </c>
    </row>
    <row r="11" spans="1:4" ht="12.75" customHeight="1" x14ac:dyDescent="0.35">
      <c r="A11"/>
      <c r="B11"/>
      <c r="C11" s="97" t="s">
        <v>4867</v>
      </c>
    </row>
    <row r="12" spans="1:4" ht="12.75" customHeight="1" x14ac:dyDescent="0.35">
      <c r="A12"/>
      <c r="B12"/>
      <c r="C12" s="97" t="s">
        <v>4868</v>
      </c>
    </row>
    <row r="13" spans="1:4" ht="12.75" customHeight="1" x14ac:dyDescent="0.35">
      <c r="A13"/>
      <c r="B13"/>
      <c r="C13" s="97" t="s">
        <v>4869</v>
      </c>
    </row>
    <row r="14" spans="1:4" ht="12.75" customHeight="1" x14ac:dyDescent="0.35">
      <c r="A14"/>
      <c r="B14"/>
      <c r="C14" s="97" t="s">
        <v>4870</v>
      </c>
    </row>
    <row r="15" spans="1:4" ht="12.75" customHeight="1" x14ac:dyDescent="0.35">
      <c r="A15" s="3"/>
      <c r="B15"/>
      <c r="C15" s="97" t="s">
        <v>4871</v>
      </c>
    </row>
    <row r="16" spans="1:4" ht="12.75" customHeight="1" x14ac:dyDescent="0.35">
      <c r="A16" s="3"/>
      <c r="B16"/>
      <c r="C16" s="97" t="s">
        <v>4872</v>
      </c>
    </row>
    <row r="17" spans="1:3" ht="12.75" customHeight="1" x14ac:dyDescent="0.35">
      <c r="A17"/>
      <c r="B17"/>
    </row>
    <row r="18" spans="1:3" ht="12.75" customHeight="1" x14ac:dyDescent="0.35">
      <c r="A18"/>
      <c r="B18"/>
      <c r="C18" s="97" t="s">
        <v>4873</v>
      </c>
    </row>
    <row r="19" spans="1:3" ht="12.75" customHeight="1" x14ac:dyDescent="0.35">
      <c r="A19"/>
      <c r="B19"/>
      <c r="C19" s="97" t="s">
        <v>3516</v>
      </c>
    </row>
    <row r="20" spans="1:3" ht="12.75" customHeight="1" x14ac:dyDescent="0.35">
      <c r="A20"/>
      <c r="B20"/>
      <c r="C20" s="97" t="s">
        <v>4874</v>
      </c>
    </row>
    <row r="21" spans="1:3" ht="12.75" customHeight="1" x14ac:dyDescent="0.35">
      <c r="A21"/>
      <c r="B21"/>
      <c r="C21" s="97" t="s">
        <v>4875</v>
      </c>
    </row>
    <row r="22" spans="1:3" ht="12.75" customHeight="1" x14ac:dyDescent="0.35">
      <c r="A22"/>
      <c r="B22"/>
    </row>
    <row r="23" spans="1:3" ht="12.75" customHeight="1" x14ac:dyDescent="0.35">
      <c r="A23"/>
      <c r="B23"/>
      <c r="C23" s="97" t="s">
        <v>2578</v>
      </c>
    </row>
    <row r="24" spans="1:3" ht="12.75" customHeight="1" x14ac:dyDescent="0.35">
      <c r="A24"/>
      <c r="B24"/>
      <c r="C24" s="97" t="s">
        <v>4876</v>
      </c>
    </row>
    <row r="25" spans="1:3" ht="12.75" customHeight="1" x14ac:dyDescent="0.35">
      <c r="A25"/>
      <c r="B25"/>
      <c r="C25" s="97" t="s">
        <v>4877</v>
      </c>
    </row>
    <row r="26" spans="1:3" ht="12.75" customHeight="1" x14ac:dyDescent="0.35">
      <c r="A26"/>
      <c r="B26"/>
    </row>
    <row r="27" spans="1:3" ht="12.75" customHeight="1" x14ac:dyDescent="0.35">
      <c r="B27"/>
      <c r="C27" s="97" t="s">
        <v>4878</v>
      </c>
    </row>
    <row r="28" spans="1:3" ht="12.75" customHeight="1" x14ac:dyDescent="0.35">
      <c r="A28"/>
      <c r="B28"/>
      <c r="C28" s="97" t="s">
        <v>4879</v>
      </c>
    </row>
    <row r="29" spans="1:3" ht="12.75" customHeight="1" x14ac:dyDescent="0.35">
      <c r="A29"/>
      <c r="B29"/>
      <c r="C29" s="97" t="s">
        <v>4880</v>
      </c>
    </row>
    <row r="30" spans="1:3" ht="12.75" customHeight="1" x14ac:dyDescent="0.35">
      <c r="A30"/>
      <c r="B30"/>
      <c r="C30" s="97" t="s">
        <v>4881</v>
      </c>
    </row>
    <row r="31" spans="1:3" ht="12.75" customHeight="1" x14ac:dyDescent="0.35">
      <c r="A31"/>
      <c r="B31"/>
    </row>
    <row r="32" spans="1:3" ht="12.75" customHeight="1" x14ac:dyDescent="0.35">
      <c r="A32"/>
      <c r="B32"/>
      <c r="C32" s="97" t="s">
        <v>4882</v>
      </c>
    </row>
    <row r="33" spans="1:3" ht="12.75" customHeight="1" x14ac:dyDescent="0.35">
      <c r="A33"/>
      <c r="B33"/>
      <c r="C33" s="97" t="s">
        <v>4883</v>
      </c>
    </row>
    <row r="34" spans="1:3" ht="12.75" customHeight="1" x14ac:dyDescent="0.35">
      <c r="A34"/>
      <c r="B34"/>
      <c r="C34" s="97" t="s">
        <v>4884</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3600</v>
      </c>
    </row>
    <row r="40" spans="1:3" ht="12.75" customHeight="1" x14ac:dyDescent="0.35">
      <c r="A40"/>
      <c r="B40"/>
    </row>
    <row r="41" spans="1:3" ht="12.75" customHeight="1" x14ac:dyDescent="0.35">
      <c r="A41"/>
      <c r="B41"/>
      <c r="C41" s="97" t="s">
        <v>3601</v>
      </c>
    </row>
    <row r="42" spans="1:3" ht="12.75" customHeight="1" x14ac:dyDescent="0.35">
      <c r="A42"/>
      <c r="B42"/>
      <c r="C42" s="97" t="s">
        <v>4885</v>
      </c>
    </row>
    <row r="43" spans="1:3" ht="12.75" customHeight="1" x14ac:dyDescent="0.35">
      <c r="A43"/>
      <c r="B43"/>
      <c r="C43" s="97" t="s">
        <v>4886</v>
      </c>
    </row>
    <row r="44" spans="1:3" ht="12.75" customHeight="1" x14ac:dyDescent="0.35">
      <c r="A44"/>
      <c r="B44"/>
      <c r="C44" s="97" t="s">
        <v>4887</v>
      </c>
    </row>
    <row r="45" spans="1:3" ht="12.75" customHeight="1" x14ac:dyDescent="0.35">
      <c r="A45"/>
      <c r="B45"/>
      <c r="C45" s="97" t="s">
        <v>4888</v>
      </c>
    </row>
    <row r="46" spans="1:3" ht="12.75" customHeight="1" x14ac:dyDescent="0.35">
      <c r="A46"/>
      <c r="B46"/>
      <c r="C46" s="97" t="s">
        <v>4889</v>
      </c>
    </row>
    <row r="47" spans="1:3" ht="12.75" customHeight="1" x14ac:dyDescent="0.35">
      <c r="A47"/>
      <c r="B47"/>
      <c r="C47" s="97" t="s">
        <v>3628</v>
      </c>
    </row>
    <row r="48" spans="1:3" ht="12.75" customHeight="1" x14ac:dyDescent="0.35">
      <c r="A48"/>
      <c r="B48"/>
      <c r="C48" s="97" t="s">
        <v>4890</v>
      </c>
    </row>
    <row r="49" spans="1:3" ht="12.75" customHeight="1" x14ac:dyDescent="0.35">
      <c r="A49"/>
      <c r="B49"/>
      <c r="C49" s="97" t="s">
        <v>4891</v>
      </c>
    </row>
    <row r="50" spans="1:3" ht="12.75" customHeight="1" x14ac:dyDescent="0.35">
      <c r="A50"/>
      <c r="B50"/>
    </row>
    <row r="51" spans="1:3" ht="12.75" customHeight="1" x14ac:dyDescent="0.35">
      <c r="A51"/>
      <c r="B51"/>
      <c r="C51" s="97" t="s">
        <v>4892</v>
      </c>
    </row>
    <row r="52" spans="1:3" ht="12.75" customHeight="1" x14ac:dyDescent="0.35">
      <c r="A52"/>
      <c r="B52"/>
      <c r="C52" s="97" t="s">
        <v>3558</v>
      </c>
    </row>
    <row r="53" spans="1:3" ht="12.75" customHeight="1" x14ac:dyDescent="0.35">
      <c r="A53"/>
      <c r="B53"/>
      <c r="C53" s="97" t="s">
        <v>4893</v>
      </c>
    </row>
    <row r="54" spans="1:3" ht="12.75" customHeight="1" x14ac:dyDescent="0.35">
      <c r="A54"/>
      <c r="B54"/>
      <c r="C54" s="97" t="s">
        <v>4894</v>
      </c>
    </row>
    <row r="55" spans="1:3" ht="12.75" customHeight="1" x14ac:dyDescent="0.35">
      <c r="A55"/>
      <c r="B55"/>
      <c r="C55" s="97" t="s">
        <v>4895</v>
      </c>
    </row>
    <row r="56" spans="1:3" ht="12.75" customHeight="1" x14ac:dyDescent="0.35">
      <c r="A56"/>
      <c r="B56"/>
    </row>
    <row r="57" spans="1:3" ht="12.75" customHeight="1" x14ac:dyDescent="0.35">
      <c r="A57"/>
      <c r="B57"/>
      <c r="C57" s="97" t="s">
        <v>4896</v>
      </c>
    </row>
    <row r="58" spans="1:3" ht="12.75" customHeight="1" x14ac:dyDescent="0.35">
      <c r="A58"/>
      <c r="B58"/>
    </row>
    <row r="59" spans="1:3" ht="12.75" customHeight="1" x14ac:dyDescent="0.35">
      <c r="A59"/>
      <c r="B59"/>
      <c r="C59" s="97" t="s">
        <v>4897</v>
      </c>
    </row>
    <row r="60" spans="1:3" ht="12.75" customHeight="1" x14ac:dyDescent="0.35">
      <c r="A60"/>
      <c r="B60"/>
      <c r="C60" s="97" t="s">
        <v>4898</v>
      </c>
    </row>
    <row r="61" spans="1:3" ht="12.75" customHeight="1" x14ac:dyDescent="0.35">
      <c r="A61"/>
      <c r="B61"/>
      <c r="C61" s="97" t="s">
        <v>4899</v>
      </c>
    </row>
    <row r="62" spans="1:3" ht="12.75" customHeight="1" x14ac:dyDescent="0.35">
      <c r="A62"/>
      <c r="B62"/>
      <c r="C62" s="97" t="s">
        <v>4900</v>
      </c>
    </row>
    <row r="63" spans="1:3" ht="12.75" customHeight="1" x14ac:dyDescent="0.35">
      <c r="A63"/>
      <c r="B63"/>
      <c r="C63" s="97" t="s">
        <v>2733</v>
      </c>
    </row>
    <row r="64" spans="1:3" ht="12.75" customHeight="1" x14ac:dyDescent="0.35">
      <c r="A64"/>
      <c r="B64"/>
      <c r="C64" s="97" t="s">
        <v>4901</v>
      </c>
    </row>
    <row r="65" spans="1:3" ht="12.75" customHeight="1" x14ac:dyDescent="0.35">
      <c r="A65"/>
      <c r="B65"/>
      <c r="C65" s="97" t="s">
        <v>4902</v>
      </c>
    </row>
    <row r="66" spans="1:3" ht="12.75" customHeight="1" x14ac:dyDescent="0.35">
      <c r="A66"/>
      <c r="B66"/>
    </row>
    <row r="67" spans="1:3" ht="12.75" customHeight="1" x14ac:dyDescent="0.35">
      <c r="A67"/>
      <c r="B67"/>
      <c r="C67" s="97" t="s">
        <v>4903</v>
      </c>
    </row>
    <row r="68" spans="1:3" ht="12.75" customHeight="1" x14ac:dyDescent="0.35">
      <c r="A68"/>
      <c r="B68"/>
      <c r="C68" s="97" t="s">
        <v>3653</v>
      </c>
    </row>
    <row r="69" spans="1:3" ht="12.75" customHeight="1" x14ac:dyDescent="0.35">
      <c r="A69"/>
      <c r="B69"/>
      <c r="C69" s="97" t="s">
        <v>4904</v>
      </c>
    </row>
    <row r="70" spans="1:3" ht="12.75" customHeight="1" x14ac:dyDescent="0.35">
      <c r="A70"/>
      <c r="B70"/>
      <c r="C70" s="97" t="s">
        <v>3656</v>
      </c>
    </row>
    <row r="71" spans="1:3" ht="12.75" customHeight="1" x14ac:dyDescent="0.35">
      <c r="A71"/>
      <c r="B71"/>
      <c r="C71" s="97" t="s">
        <v>3650</v>
      </c>
    </row>
    <row r="72" spans="1:3" ht="12.75" customHeight="1" x14ac:dyDescent="0.35">
      <c r="A72"/>
      <c r="B72"/>
      <c r="C72" s="97" t="s">
        <v>4905</v>
      </c>
    </row>
    <row r="73" spans="1:3" ht="12.75" customHeight="1" x14ac:dyDescent="0.35">
      <c r="A73"/>
      <c r="B73"/>
      <c r="C73" s="97" t="s">
        <v>4906</v>
      </c>
    </row>
    <row r="74" spans="1:3" ht="12.75" customHeight="1" x14ac:dyDescent="0.35">
      <c r="A74"/>
      <c r="B74"/>
    </row>
    <row r="75" spans="1:3" ht="12.75" customHeight="1" x14ac:dyDescent="0.35">
      <c r="A75"/>
      <c r="B75"/>
      <c r="C75" s="97" t="s">
        <v>3561</v>
      </c>
    </row>
    <row r="76" spans="1:3" ht="12.75" customHeight="1" x14ac:dyDescent="0.35">
      <c r="A76"/>
      <c r="B76"/>
      <c r="C76" s="97" t="s">
        <v>4904</v>
      </c>
    </row>
    <row r="77" spans="1:3" ht="12.75" customHeight="1" x14ac:dyDescent="0.35">
      <c r="A77"/>
      <c r="B77"/>
      <c r="C77" s="97" t="s">
        <v>4907</v>
      </c>
    </row>
    <row r="78" spans="1:3" ht="12.75" customHeight="1" x14ac:dyDescent="0.35">
      <c r="A78"/>
      <c r="B78"/>
      <c r="C78" s="97" t="s">
        <v>4908</v>
      </c>
    </row>
    <row r="79" spans="1:3" ht="12.75" customHeight="1" x14ac:dyDescent="0.35">
      <c r="A79"/>
      <c r="B79"/>
      <c r="C79" s="97" t="s">
        <v>4909</v>
      </c>
    </row>
    <row r="80" spans="1:3" ht="12.75" customHeight="1" x14ac:dyDescent="0.35">
      <c r="A80"/>
      <c r="B80"/>
    </row>
    <row r="81" spans="1:3" ht="12.75" customHeight="1" x14ac:dyDescent="0.35">
      <c r="A81"/>
      <c r="B81"/>
      <c r="C81" s="97" t="s">
        <v>4910</v>
      </c>
    </row>
    <row r="82" spans="1:3" ht="12.75" customHeight="1" x14ac:dyDescent="0.35">
      <c r="A82"/>
      <c r="B82"/>
    </row>
    <row r="83" spans="1:3" ht="12.75" customHeight="1" x14ac:dyDescent="0.35">
      <c r="A83"/>
      <c r="B83"/>
      <c r="C83" s="97" t="s">
        <v>4911</v>
      </c>
    </row>
    <row r="84" spans="1:3" ht="12.75" customHeight="1" x14ac:dyDescent="0.35">
      <c r="A84"/>
      <c r="B84"/>
    </row>
    <row r="85" spans="1:3" ht="12.75" customHeight="1" x14ac:dyDescent="0.35">
      <c r="A85"/>
      <c r="B85"/>
      <c r="C85" s="159" t="s">
        <v>5172</v>
      </c>
    </row>
    <row r="86" spans="1:3" ht="12.75" customHeight="1" x14ac:dyDescent="0.35">
      <c r="A86"/>
      <c r="B86"/>
    </row>
    <row r="87" spans="1:3" ht="12.75" customHeight="1" x14ac:dyDescent="0.35">
      <c r="A87"/>
      <c r="B87"/>
      <c r="C87" s="97" t="s">
        <v>3572</v>
      </c>
    </row>
    <row r="88" spans="1:3" ht="12.75" customHeight="1" x14ac:dyDescent="0.35">
      <c r="A88"/>
      <c r="B88"/>
      <c r="C88" s="97" t="s">
        <v>4912</v>
      </c>
    </row>
    <row r="89" spans="1:3" ht="12.75" customHeight="1" x14ac:dyDescent="0.35">
      <c r="A89"/>
      <c r="B89"/>
      <c r="C89" s="97" t="s">
        <v>4913</v>
      </c>
    </row>
    <row r="90" spans="1:3" ht="12.75" customHeight="1" x14ac:dyDescent="0.35">
      <c r="A90"/>
      <c r="B90"/>
      <c r="C90" s="97" t="s">
        <v>3516</v>
      </c>
    </row>
    <row r="91" spans="1:3" ht="12.75" customHeight="1" x14ac:dyDescent="0.35">
      <c r="A91"/>
      <c r="B91"/>
      <c r="C91" s="97" t="s">
        <v>4914</v>
      </c>
    </row>
    <row r="92" spans="1:3" ht="12.75" customHeight="1" x14ac:dyDescent="0.35">
      <c r="A92"/>
      <c r="B92"/>
      <c r="C92" s="97" t="s">
        <v>4915</v>
      </c>
    </row>
    <row r="93" spans="1:3" ht="12.75" customHeight="1" x14ac:dyDescent="0.35">
      <c r="A93"/>
      <c r="B93"/>
      <c r="C93" s="97" t="s">
        <v>4916</v>
      </c>
    </row>
    <row r="94" spans="1:3" ht="12.75" customHeight="1" x14ac:dyDescent="0.35">
      <c r="A94"/>
      <c r="B94"/>
      <c r="C94" s="97" t="s">
        <v>4917</v>
      </c>
    </row>
    <row r="95" spans="1:3" ht="12.75" customHeight="1" x14ac:dyDescent="0.35">
      <c r="A95"/>
      <c r="B95"/>
      <c r="C95" s="97" t="s">
        <v>4918</v>
      </c>
    </row>
    <row r="96" spans="1:3" ht="12.75" customHeight="1" x14ac:dyDescent="0.35">
      <c r="A96"/>
      <c r="B96"/>
      <c r="C96" s="97" t="s">
        <v>4919</v>
      </c>
    </row>
    <row r="97" spans="1:3" ht="12.75" customHeight="1" x14ac:dyDescent="0.35">
      <c r="A97"/>
      <c r="B97"/>
      <c r="C97" s="97" t="s">
        <v>4920</v>
      </c>
    </row>
    <row r="98" spans="1:3" ht="12.75" customHeight="1" x14ac:dyDescent="0.35">
      <c r="A98"/>
      <c r="B98"/>
    </row>
    <row r="99" spans="1:3" ht="12.75" customHeight="1" x14ac:dyDescent="0.35">
      <c r="A99"/>
      <c r="B99"/>
      <c r="C99" s="97" t="s">
        <v>4921</v>
      </c>
    </row>
    <row r="100" spans="1:3" ht="12.75" customHeight="1" x14ac:dyDescent="0.35">
      <c r="A100"/>
      <c r="B100"/>
      <c r="C100" s="97" t="s">
        <v>4922</v>
      </c>
    </row>
    <row r="101" spans="1:3" ht="12.75" customHeight="1" x14ac:dyDescent="0.35">
      <c r="A101"/>
      <c r="B101"/>
      <c r="C101" s="97" t="s">
        <v>4923</v>
      </c>
    </row>
    <row r="102" spans="1:3" ht="12.75" customHeight="1" x14ac:dyDescent="0.35">
      <c r="A102"/>
      <c r="B102"/>
      <c r="C102" s="97" t="s">
        <v>4924</v>
      </c>
    </row>
    <row r="103" spans="1:3" ht="12.75" customHeight="1" x14ac:dyDescent="0.35">
      <c r="A103"/>
      <c r="B103"/>
      <c r="C103" s="97" t="s">
        <v>4925</v>
      </c>
    </row>
    <row r="104" spans="1:3" ht="12.75" customHeight="1" x14ac:dyDescent="0.35">
      <c r="A104"/>
      <c r="B104"/>
      <c r="C104" s="97" t="s">
        <v>4926</v>
      </c>
    </row>
    <row r="105" spans="1:3" ht="12.75" customHeight="1" x14ac:dyDescent="0.35">
      <c r="A105"/>
      <c r="B105"/>
      <c r="C105" s="97" t="s">
        <v>4927</v>
      </c>
    </row>
    <row r="106" spans="1:3" ht="12.75" customHeight="1" x14ac:dyDescent="0.35">
      <c r="A106"/>
      <c r="B106"/>
      <c r="C106" s="97" t="s">
        <v>4928</v>
      </c>
    </row>
    <row r="107" spans="1:3" ht="12.75" customHeight="1" x14ac:dyDescent="0.35">
      <c r="A107"/>
      <c r="B107"/>
      <c r="C107" s="97" t="s">
        <v>4929</v>
      </c>
    </row>
    <row r="108" spans="1:3" ht="12.75" customHeight="1" x14ac:dyDescent="0.35">
      <c r="A108"/>
      <c r="B108"/>
    </row>
    <row r="109" spans="1:3" ht="12.75" customHeight="1" x14ac:dyDescent="0.35">
      <c r="A109"/>
      <c r="B109"/>
      <c r="C109" s="97" t="s">
        <v>4930</v>
      </c>
    </row>
    <row r="110" spans="1:3" ht="12.75" customHeight="1" x14ac:dyDescent="0.35">
      <c r="A110"/>
      <c r="B110"/>
    </row>
    <row r="111" spans="1:3" ht="12.75" customHeight="1" x14ac:dyDescent="0.35">
      <c r="A111"/>
      <c r="B111"/>
      <c r="C111" s="97" t="s">
        <v>4931</v>
      </c>
    </row>
    <row r="112" spans="1:3" ht="12.75" customHeight="1" x14ac:dyDescent="0.35">
      <c r="A112"/>
      <c r="B112"/>
      <c r="C112" s="97" t="s">
        <v>4932</v>
      </c>
    </row>
    <row r="113" spans="1:3" ht="12.75" customHeight="1" x14ac:dyDescent="0.35">
      <c r="A113"/>
      <c r="B113"/>
      <c r="C113" s="97" t="s">
        <v>4933</v>
      </c>
    </row>
    <row r="114" spans="1:3" ht="12.75" customHeight="1" x14ac:dyDescent="0.35">
      <c r="A114"/>
      <c r="B114"/>
      <c r="C114" s="97" t="s">
        <v>4934</v>
      </c>
    </row>
    <row r="115" spans="1:3" ht="12.75" customHeight="1" x14ac:dyDescent="0.35">
      <c r="A115"/>
      <c r="B115"/>
      <c r="C115" s="97" t="s">
        <v>4935</v>
      </c>
    </row>
    <row r="116" spans="1:3" ht="12.75" customHeight="1" x14ac:dyDescent="0.35">
      <c r="A116"/>
      <c r="B116"/>
      <c r="C116" s="97" t="s">
        <v>4936</v>
      </c>
    </row>
    <row r="117" spans="1:3" ht="12.75" customHeight="1" x14ac:dyDescent="0.35">
      <c r="A117"/>
      <c r="B117"/>
      <c r="C117" s="97" t="s">
        <v>4937</v>
      </c>
    </row>
    <row r="118" spans="1:3" ht="12.75" customHeight="1" x14ac:dyDescent="0.35"/>
    <row r="119" spans="1:3" ht="12.75" customHeight="1" x14ac:dyDescent="0.35">
      <c r="C119" s="97" t="s">
        <v>4938</v>
      </c>
    </row>
    <row r="120" spans="1:3" ht="12.75" customHeight="1" x14ac:dyDescent="0.35">
      <c r="C120" s="97" t="s">
        <v>4939</v>
      </c>
    </row>
  </sheetData>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4">
    <pageSetUpPr autoPageBreaks="0"/>
  </sheetPr>
  <dimension ref="A1:D120"/>
  <sheetViews>
    <sheetView workbookViewId="0">
      <selection activeCell="C85" sqref="C85"/>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4940</v>
      </c>
    </row>
    <row r="5" spans="1:4" ht="12.75" customHeight="1" x14ac:dyDescent="0.35">
      <c r="A5"/>
      <c r="B5"/>
    </row>
    <row r="6" spans="1:4" ht="12.75" customHeight="1" x14ac:dyDescent="0.35">
      <c r="A6"/>
      <c r="B6"/>
      <c r="C6" s="159" t="s">
        <v>3725</v>
      </c>
    </row>
    <row r="7" spans="1:4" ht="12.75" customHeight="1" x14ac:dyDescent="0.35">
      <c r="A7"/>
      <c r="B7"/>
    </row>
    <row r="8" spans="1:4" ht="12.75" customHeight="1" x14ac:dyDescent="0.35">
      <c r="A8"/>
      <c r="B8"/>
      <c r="C8" s="97" t="s">
        <v>4941</v>
      </c>
    </row>
    <row r="9" spans="1:4" ht="12.75" customHeight="1" x14ac:dyDescent="0.35">
      <c r="A9"/>
      <c r="B9"/>
      <c r="C9" s="97" t="s">
        <v>4942</v>
      </c>
    </row>
    <row r="10" spans="1:4" ht="12.75" customHeight="1" x14ac:dyDescent="0.35">
      <c r="A10"/>
      <c r="B10"/>
      <c r="C10" s="97" t="s">
        <v>4943</v>
      </c>
    </row>
    <row r="11" spans="1:4" ht="12.75" customHeight="1" x14ac:dyDescent="0.35">
      <c r="A11"/>
      <c r="B11"/>
      <c r="C11" s="97" t="s">
        <v>4944</v>
      </c>
    </row>
    <row r="12" spans="1:4" ht="12.75" customHeight="1" x14ac:dyDescent="0.35">
      <c r="A12"/>
      <c r="B12"/>
      <c r="C12" s="97" t="s">
        <v>4945</v>
      </c>
    </row>
    <row r="13" spans="1:4" ht="12.75" customHeight="1" x14ac:dyDescent="0.35">
      <c r="A13"/>
      <c r="B13"/>
      <c r="C13" s="97" t="s">
        <v>4946</v>
      </c>
    </row>
    <row r="14" spans="1:4" ht="12.75" customHeight="1" x14ac:dyDescent="0.35">
      <c r="A14"/>
      <c r="B14"/>
      <c r="C14" s="97" t="s">
        <v>4947</v>
      </c>
    </row>
    <row r="15" spans="1:4" ht="12.75" customHeight="1" x14ac:dyDescent="0.35">
      <c r="A15"/>
      <c r="B15"/>
      <c r="C15" s="97" t="s">
        <v>4948</v>
      </c>
    </row>
    <row r="16" spans="1:4" ht="12.75" customHeight="1" x14ac:dyDescent="0.35">
      <c r="A16"/>
      <c r="B16"/>
      <c r="C16" s="97" t="s">
        <v>4949</v>
      </c>
    </row>
    <row r="17" spans="1:3" ht="12.75" customHeight="1" x14ac:dyDescent="0.35">
      <c r="A17"/>
      <c r="B17"/>
    </row>
    <row r="18" spans="1:3" ht="12.75" customHeight="1" x14ac:dyDescent="0.35">
      <c r="A18"/>
      <c r="B18"/>
      <c r="C18" s="97" t="s">
        <v>4950</v>
      </c>
    </row>
    <row r="19" spans="1:3" ht="12.75" customHeight="1" x14ac:dyDescent="0.35">
      <c r="A19"/>
      <c r="B19"/>
      <c r="C19" s="97" t="s">
        <v>4951</v>
      </c>
    </row>
    <row r="20" spans="1:3" ht="12.75" customHeight="1" x14ac:dyDescent="0.35">
      <c r="A20"/>
      <c r="B20"/>
      <c r="C20" s="97" t="s">
        <v>4952</v>
      </c>
    </row>
    <row r="21" spans="1:3" ht="12.75" customHeight="1" x14ac:dyDescent="0.35">
      <c r="A21"/>
      <c r="B21"/>
      <c r="C21" s="97" t="s">
        <v>4953</v>
      </c>
    </row>
    <row r="22" spans="1:3" ht="12.75" customHeight="1" x14ac:dyDescent="0.35">
      <c r="A22"/>
      <c r="B22"/>
    </row>
    <row r="23" spans="1:3" ht="12.75" customHeight="1" x14ac:dyDescent="0.35">
      <c r="A23"/>
      <c r="B23"/>
      <c r="C23" s="97" t="s">
        <v>4954</v>
      </c>
    </row>
    <row r="24" spans="1:3" ht="12.75" customHeight="1" x14ac:dyDescent="0.35">
      <c r="A24"/>
      <c r="B24"/>
      <c r="C24" s="97" t="s">
        <v>4955</v>
      </c>
    </row>
    <row r="25" spans="1:3" ht="12.75" customHeight="1" x14ac:dyDescent="0.35">
      <c r="A25"/>
      <c r="B25"/>
      <c r="C25" s="97" t="s">
        <v>4956</v>
      </c>
    </row>
    <row r="26" spans="1:3" ht="12.75" customHeight="1" x14ac:dyDescent="0.35">
      <c r="A26"/>
      <c r="B26"/>
    </row>
    <row r="27" spans="1:3" ht="12.75" customHeight="1" x14ac:dyDescent="0.35">
      <c r="A27"/>
      <c r="B27"/>
      <c r="C27" s="97" t="s">
        <v>4957</v>
      </c>
    </row>
    <row r="28" spans="1:3" ht="12.75" customHeight="1" x14ac:dyDescent="0.35">
      <c r="A28"/>
      <c r="B28"/>
      <c r="C28" s="97" t="s">
        <v>4958</v>
      </c>
    </row>
    <row r="29" spans="1:3" ht="12.75" customHeight="1" x14ac:dyDescent="0.35">
      <c r="A29"/>
      <c r="B29"/>
      <c r="C29" s="97" t="s">
        <v>4959</v>
      </c>
    </row>
    <row r="30" spans="1:3" ht="12.75" customHeight="1" x14ac:dyDescent="0.35">
      <c r="A30"/>
      <c r="B30"/>
      <c r="C30" s="97" t="s">
        <v>4960</v>
      </c>
    </row>
    <row r="31" spans="1:3" ht="12.75" customHeight="1" x14ac:dyDescent="0.35">
      <c r="A31"/>
      <c r="B31"/>
    </row>
    <row r="32" spans="1:3" ht="12.75" customHeight="1" x14ac:dyDescent="0.35">
      <c r="A32"/>
      <c r="B32"/>
      <c r="C32" s="97" t="s">
        <v>4961</v>
      </c>
    </row>
    <row r="33" spans="1:3" ht="12.75" customHeight="1" x14ac:dyDescent="0.35">
      <c r="A33"/>
      <c r="B33"/>
      <c r="C33" s="97" t="s">
        <v>4962</v>
      </c>
    </row>
    <row r="34" spans="1:3" ht="12.75" customHeight="1" x14ac:dyDescent="0.35">
      <c r="A34"/>
      <c r="B34"/>
      <c r="C34" s="97" t="s">
        <v>3766</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5173</v>
      </c>
    </row>
    <row r="40" spans="1:3" ht="12.75" customHeight="1" x14ac:dyDescent="0.35">
      <c r="A40"/>
      <c r="B40"/>
    </row>
    <row r="41" spans="1:3" ht="12.75" customHeight="1" x14ac:dyDescent="0.35">
      <c r="A41"/>
      <c r="B41"/>
      <c r="C41" s="97" t="s">
        <v>3834</v>
      </c>
    </row>
    <row r="42" spans="1:3" ht="12.75" customHeight="1" x14ac:dyDescent="0.35">
      <c r="A42"/>
      <c r="B42"/>
      <c r="C42" s="97" t="s">
        <v>4963</v>
      </c>
    </row>
    <row r="43" spans="1:3" ht="12.75" customHeight="1" x14ac:dyDescent="0.35">
      <c r="A43"/>
      <c r="B43"/>
      <c r="C43" s="97" t="s">
        <v>3837</v>
      </c>
    </row>
    <row r="44" spans="1:3" ht="12.75" customHeight="1" x14ac:dyDescent="0.35">
      <c r="A44"/>
      <c r="B44"/>
      <c r="C44" s="97" t="s">
        <v>4964</v>
      </c>
    </row>
    <row r="45" spans="1:3" ht="12.75" customHeight="1" x14ac:dyDescent="0.35">
      <c r="A45"/>
      <c r="B45"/>
      <c r="C45" s="97" t="s">
        <v>4965</v>
      </c>
    </row>
    <row r="46" spans="1:3" ht="12.75" customHeight="1" x14ac:dyDescent="0.35">
      <c r="A46"/>
      <c r="B46"/>
      <c r="C46" s="97" t="s">
        <v>4966</v>
      </c>
    </row>
    <row r="47" spans="1:3" ht="12.75" customHeight="1" x14ac:dyDescent="0.35">
      <c r="A47"/>
      <c r="B47"/>
      <c r="C47" s="97" t="s">
        <v>3862</v>
      </c>
    </row>
    <row r="48" spans="1:3" ht="12.75" customHeight="1" x14ac:dyDescent="0.35">
      <c r="A48"/>
      <c r="B48"/>
      <c r="C48" s="97" t="s">
        <v>4967</v>
      </c>
    </row>
    <row r="49" spans="1:3" ht="12.75" customHeight="1" x14ac:dyDescent="0.35">
      <c r="A49"/>
      <c r="B49"/>
      <c r="C49" s="97" t="s">
        <v>4968</v>
      </c>
    </row>
    <row r="50" spans="1:3" ht="12.75" customHeight="1" x14ac:dyDescent="0.35">
      <c r="A50"/>
      <c r="B50"/>
    </row>
    <row r="51" spans="1:3" ht="12.75" customHeight="1" x14ac:dyDescent="0.35">
      <c r="A51"/>
      <c r="B51"/>
      <c r="C51" s="97" t="s">
        <v>4969</v>
      </c>
    </row>
    <row r="52" spans="1:3" ht="12.75" customHeight="1" x14ac:dyDescent="0.35">
      <c r="A52"/>
      <c r="B52"/>
      <c r="C52" s="97" t="s">
        <v>4970</v>
      </c>
    </row>
    <row r="53" spans="1:3" ht="12.75" customHeight="1" x14ac:dyDescent="0.35">
      <c r="A53"/>
      <c r="B53"/>
      <c r="C53" s="97" t="s">
        <v>4971</v>
      </c>
    </row>
    <row r="54" spans="1:3" ht="12.75" customHeight="1" x14ac:dyDescent="0.35">
      <c r="A54"/>
      <c r="B54"/>
      <c r="C54" s="97" t="s">
        <v>4972</v>
      </c>
    </row>
    <row r="55" spans="1:3" ht="12.75" customHeight="1" x14ac:dyDescent="0.35">
      <c r="A55"/>
      <c r="B55"/>
      <c r="C55" s="97" t="s">
        <v>4973</v>
      </c>
    </row>
    <row r="56" spans="1:3" ht="12.75" customHeight="1" x14ac:dyDescent="0.35">
      <c r="A56"/>
      <c r="B56"/>
    </row>
    <row r="57" spans="1:3" ht="12.75" customHeight="1" x14ac:dyDescent="0.35">
      <c r="A57"/>
      <c r="B57"/>
      <c r="C57" s="97" t="s">
        <v>4974</v>
      </c>
    </row>
    <row r="58" spans="1:3" ht="12.75" customHeight="1" x14ac:dyDescent="0.35">
      <c r="A58"/>
      <c r="B58"/>
    </row>
    <row r="59" spans="1:3" ht="12.75" customHeight="1" x14ac:dyDescent="0.35">
      <c r="A59"/>
      <c r="B59"/>
      <c r="C59" s="97" t="s">
        <v>4975</v>
      </c>
    </row>
    <row r="60" spans="1:3" ht="12.75" customHeight="1" x14ac:dyDescent="0.35">
      <c r="A60"/>
      <c r="B60"/>
      <c r="C60" s="97" t="s">
        <v>4976</v>
      </c>
    </row>
    <row r="61" spans="1:3" ht="12.75" customHeight="1" x14ac:dyDescent="0.35">
      <c r="A61"/>
      <c r="B61"/>
      <c r="C61" s="97" t="s">
        <v>4977</v>
      </c>
    </row>
    <row r="62" spans="1:3" ht="12.75" customHeight="1" x14ac:dyDescent="0.35">
      <c r="A62"/>
      <c r="B62"/>
      <c r="C62" s="97" t="s">
        <v>4978</v>
      </c>
    </row>
    <row r="63" spans="1:3" ht="12.75" customHeight="1" x14ac:dyDescent="0.35">
      <c r="A63"/>
      <c r="B63"/>
      <c r="C63" s="97" t="s">
        <v>7</v>
      </c>
    </row>
    <row r="64" spans="1:3" ht="12.75" customHeight="1" x14ac:dyDescent="0.35">
      <c r="A64"/>
      <c r="B64"/>
      <c r="C64" s="97" t="s">
        <v>3766</v>
      </c>
    </row>
    <row r="65" spans="1:3" ht="12.75" customHeight="1" x14ac:dyDescent="0.35">
      <c r="A65"/>
      <c r="B65"/>
      <c r="C65" s="97" t="s">
        <v>4979</v>
      </c>
    </row>
    <row r="66" spans="1:3" ht="12.75" customHeight="1" x14ac:dyDescent="0.35">
      <c r="A66"/>
      <c r="B66"/>
    </row>
    <row r="67" spans="1:3" ht="12.75" customHeight="1" x14ac:dyDescent="0.35">
      <c r="A67"/>
      <c r="B67"/>
      <c r="C67" s="97" t="s">
        <v>4980</v>
      </c>
    </row>
    <row r="68" spans="1:3" ht="12.75" customHeight="1" x14ac:dyDescent="0.35">
      <c r="A68"/>
      <c r="B68"/>
      <c r="C68" s="97" t="s">
        <v>4981</v>
      </c>
    </row>
    <row r="69" spans="1:3" ht="12.75" customHeight="1" x14ac:dyDescent="0.35">
      <c r="A69"/>
      <c r="B69"/>
      <c r="C69" s="97" t="s">
        <v>4982</v>
      </c>
    </row>
    <row r="70" spans="1:3" ht="12.75" customHeight="1" x14ac:dyDescent="0.35">
      <c r="A70"/>
      <c r="B70"/>
      <c r="C70" s="97" t="s">
        <v>3884</v>
      </c>
    </row>
    <row r="71" spans="1:3" ht="12.75" customHeight="1" x14ac:dyDescent="0.35">
      <c r="A71"/>
      <c r="B71"/>
      <c r="C71" s="97" t="s">
        <v>3880</v>
      </c>
    </row>
    <row r="72" spans="1:3" ht="12.75" customHeight="1" x14ac:dyDescent="0.35">
      <c r="A72"/>
      <c r="B72"/>
      <c r="C72" s="97" t="s">
        <v>4983</v>
      </c>
    </row>
    <row r="73" spans="1:3" ht="12.75" customHeight="1" x14ac:dyDescent="0.35">
      <c r="A73"/>
      <c r="B73"/>
      <c r="C73" s="97" t="s">
        <v>4984</v>
      </c>
    </row>
    <row r="74" spans="1:3" ht="12.75" customHeight="1" x14ac:dyDescent="0.35">
      <c r="A74"/>
      <c r="B74"/>
    </row>
    <row r="75" spans="1:3" ht="12.75" customHeight="1" x14ac:dyDescent="0.35">
      <c r="A75"/>
      <c r="B75"/>
      <c r="C75" s="97" t="s">
        <v>4985</v>
      </c>
    </row>
    <row r="76" spans="1:3" ht="12.75" customHeight="1" x14ac:dyDescent="0.35">
      <c r="A76"/>
      <c r="B76"/>
      <c r="C76" s="97" t="s">
        <v>4982</v>
      </c>
    </row>
    <row r="77" spans="1:3" ht="12.75" customHeight="1" x14ac:dyDescent="0.35">
      <c r="A77"/>
      <c r="B77"/>
      <c r="C77" s="97" t="s">
        <v>4986</v>
      </c>
    </row>
    <row r="78" spans="1:3" ht="12.75" customHeight="1" x14ac:dyDescent="0.35">
      <c r="A78"/>
      <c r="B78"/>
      <c r="C78" s="97" t="s">
        <v>4987</v>
      </c>
    </row>
    <row r="79" spans="1:3" ht="12.75" customHeight="1" x14ac:dyDescent="0.35">
      <c r="A79"/>
      <c r="B79"/>
      <c r="C79" s="97" t="s">
        <v>4988</v>
      </c>
    </row>
    <row r="80" spans="1:3" ht="12.75" customHeight="1" x14ac:dyDescent="0.35">
      <c r="A80"/>
      <c r="B80"/>
    </row>
    <row r="81" spans="1:3" ht="12.75" customHeight="1" x14ac:dyDescent="0.35">
      <c r="A81"/>
      <c r="B81"/>
      <c r="C81" s="97" t="s">
        <v>4989</v>
      </c>
    </row>
    <row r="82" spans="1:3" ht="12.75" customHeight="1" x14ac:dyDescent="0.35">
      <c r="A82"/>
      <c r="B82"/>
    </row>
    <row r="83" spans="1:3" ht="12.75" customHeight="1" x14ac:dyDescent="0.35">
      <c r="A83"/>
      <c r="B83"/>
      <c r="C83" s="97" t="s">
        <v>4990</v>
      </c>
    </row>
    <row r="84" spans="1:3" ht="12.75" customHeight="1" x14ac:dyDescent="0.35">
      <c r="A84"/>
      <c r="B84"/>
    </row>
    <row r="85" spans="1:3" ht="12.75" customHeight="1" x14ac:dyDescent="0.35">
      <c r="A85"/>
      <c r="B85"/>
      <c r="C85" s="159" t="s">
        <v>5174</v>
      </c>
    </row>
    <row r="86" spans="1:3" ht="12.75" customHeight="1" x14ac:dyDescent="0.35">
      <c r="A86"/>
      <c r="B86"/>
    </row>
    <row r="87" spans="1:3" ht="12.75" customHeight="1" x14ac:dyDescent="0.35">
      <c r="A87"/>
      <c r="B87"/>
      <c r="C87" s="97" t="s">
        <v>4991</v>
      </c>
    </row>
    <row r="88" spans="1:3" ht="12.75" customHeight="1" x14ac:dyDescent="0.35">
      <c r="A88"/>
      <c r="B88"/>
      <c r="C88" s="97" t="s">
        <v>4992</v>
      </c>
    </row>
    <row r="89" spans="1:3" ht="12.75" customHeight="1" x14ac:dyDescent="0.35">
      <c r="A89"/>
      <c r="B89"/>
      <c r="C89" s="97" t="s">
        <v>4993</v>
      </c>
    </row>
    <row r="90" spans="1:3" ht="12.75" customHeight="1" x14ac:dyDescent="0.35">
      <c r="A90"/>
      <c r="B90"/>
      <c r="C90" s="97" t="s">
        <v>4994</v>
      </c>
    </row>
    <row r="91" spans="1:3" ht="12.75" customHeight="1" x14ac:dyDescent="0.35">
      <c r="A91"/>
      <c r="B91"/>
      <c r="C91" s="97" t="s">
        <v>4995</v>
      </c>
    </row>
    <row r="92" spans="1:3" ht="12.75" customHeight="1" x14ac:dyDescent="0.35">
      <c r="A92"/>
      <c r="B92"/>
      <c r="C92" s="97" t="s">
        <v>4996</v>
      </c>
    </row>
    <row r="93" spans="1:3" ht="12.75" customHeight="1" x14ac:dyDescent="0.35">
      <c r="A93"/>
      <c r="B93"/>
      <c r="C93" s="97" t="s">
        <v>4997</v>
      </c>
    </row>
    <row r="94" spans="1:3" ht="12.75" customHeight="1" x14ac:dyDescent="0.35">
      <c r="A94"/>
      <c r="B94"/>
      <c r="C94" s="97" t="s">
        <v>4998</v>
      </c>
    </row>
    <row r="95" spans="1:3" ht="12.75" customHeight="1" x14ac:dyDescent="0.35">
      <c r="A95"/>
      <c r="B95"/>
      <c r="C95" s="97" t="s">
        <v>4999</v>
      </c>
    </row>
    <row r="96" spans="1:3" ht="12.75" customHeight="1" x14ac:dyDescent="0.35">
      <c r="A96"/>
      <c r="B96"/>
      <c r="C96" s="97" t="s">
        <v>5000</v>
      </c>
    </row>
    <row r="97" spans="1:3" ht="12.75" customHeight="1" x14ac:dyDescent="0.35">
      <c r="A97"/>
      <c r="B97"/>
      <c r="C97" s="97" t="s">
        <v>5001</v>
      </c>
    </row>
    <row r="98" spans="1:3" ht="12.75" customHeight="1" x14ac:dyDescent="0.35">
      <c r="A98"/>
      <c r="B98"/>
    </row>
    <row r="99" spans="1:3" ht="12.75" customHeight="1" x14ac:dyDescent="0.35">
      <c r="A99"/>
      <c r="B99"/>
      <c r="C99" s="97" t="s">
        <v>5002</v>
      </c>
    </row>
    <row r="100" spans="1:3" ht="12.75" customHeight="1" x14ac:dyDescent="0.35">
      <c r="A100"/>
      <c r="B100"/>
      <c r="C100" s="97" t="s">
        <v>5003</v>
      </c>
    </row>
    <row r="101" spans="1:3" ht="12.75" customHeight="1" x14ac:dyDescent="0.35">
      <c r="A101"/>
      <c r="B101"/>
      <c r="C101" s="97" t="s">
        <v>5004</v>
      </c>
    </row>
    <row r="102" spans="1:3" ht="12.75" customHeight="1" x14ac:dyDescent="0.35">
      <c r="A102"/>
      <c r="B102"/>
      <c r="C102" s="97" t="s">
        <v>5005</v>
      </c>
    </row>
    <row r="103" spans="1:3" ht="12.75" customHeight="1" x14ac:dyDescent="0.35">
      <c r="A103"/>
      <c r="B103"/>
      <c r="C103" s="97" t="s">
        <v>5006</v>
      </c>
    </row>
    <row r="104" spans="1:3" ht="12.75" customHeight="1" x14ac:dyDescent="0.35">
      <c r="A104"/>
      <c r="B104"/>
      <c r="C104" s="97" t="s">
        <v>5007</v>
      </c>
    </row>
    <row r="105" spans="1:3" ht="12.75" customHeight="1" x14ac:dyDescent="0.35">
      <c r="A105"/>
      <c r="B105"/>
      <c r="C105" s="97" t="s">
        <v>5008</v>
      </c>
    </row>
    <row r="106" spans="1:3" ht="12.75" customHeight="1" x14ac:dyDescent="0.35">
      <c r="A106"/>
      <c r="B106"/>
      <c r="C106" s="97" t="s">
        <v>5009</v>
      </c>
    </row>
    <row r="107" spans="1:3" ht="12.75" customHeight="1" x14ac:dyDescent="0.35">
      <c r="A107"/>
      <c r="B107"/>
      <c r="C107" s="97" t="s">
        <v>5010</v>
      </c>
    </row>
    <row r="108" spans="1:3" ht="12.75" customHeight="1" x14ac:dyDescent="0.35">
      <c r="A108"/>
      <c r="B108"/>
    </row>
    <row r="109" spans="1:3" ht="12.75" customHeight="1" x14ac:dyDescent="0.35">
      <c r="A109"/>
      <c r="B109"/>
      <c r="C109" s="97" t="s">
        <v>5011</v>
      </c>
    </row>
    <row r="110" spans="1:3" ht="12.75" customHeight="1" x14ac:dyDescent="0.35">
      <c r="A110"/>
      <c r="B110"/>
    </row>
    <row r="111" spans="1:3" ht="12.75" customHeight="1" x14ac:dyDescent="0.35">
      <c r="A111"/>
      <c r="B111"/>
      <c r="C111" s="97" t="s">
        <v>5012</v>
      </c>
    </row>
    <row r="112" spans="1:3" ht="12.75" customHeight="1" x14ac:dyDescent="0.35">
      <c r="A112"/>
      <c r="B112"/>
      <c r="C112" s="97" t="s">
        <v>5013</v>
      </c>
    </row>
    <row r="113" spans="1:3" ht="12.75" customHeight="1" x14ac:dyDescent="0.35">
      <c r="A113"/>
      <c r="B113"/>
      <c r="C113" s="97" t="s">
        <v>5014</v>
      </c>
    </row>
    <row r="114" spans="1:3" ht="12.75" customHeight="1" x14ac:dyDescent="0.35">
      <c r="A114"/>
      <c r="B114"/>
      <c r="C114" s="97" t="s">
        <v>5015</v>
      </c>
    </row>
    <row r="115" spans="1:3" ht="12.75" customHeight="1" x14ac:dyDescent="0.35">
      <c r="A115"/>
      <c r="B115"/>
      <c r="C115" s="97" t="s">
        <v>5016</v>
      </c>
    </row>
    <row r="116" spans="1:3" ht="12.75" customHeight="1" x14ac:dyDescent="0.35">
      <c r="A116"/>
      <c r="B116"/>
      <c r="C116" s="97" t="s">
        <v>5017</v>
      </c>
    </row>
    <row r="117" spans="1:3" ht="12.75" customHeight="1" x14ac:dyDescent="0.35">
      <c r="A117"/>
      <c r="B117"/>
      <c r="C117" s="97" t="s">
        <v>5018</v>
      </c>
    </row>
    <row r="118" spans="1:3" ht="12.75" customHeight="1" x14ac:dyDescent="0.35"/>
    <row r="119" spans="1:3" ht="12.75" customHeight="1" x14ac:dyDescent="0.35">
      <c r="C119" s="97" t="s">
        <v>5019</v>
      </c>
    </row>
    <row r="120" spans="1:3" ht="12.75" customHeight="1" x14ac:dyDescent="0.35">
      <c r="C120" s="97" t="s">
        <v>5020</v>
      </c>
    </row>
  </sheetData>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5">
    <pageSetUpPr autoPageBreaks="0"/>
  </sheetPr>
  <dimension ref="A1:D120"/>
  <sheetViews>
    <sheetView workbookViewId="0"/>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row>
    <row r="4" spans="1:4" ht="12.75" customHeight="1" x14ac:dyDescent="0.35">
      <c r="A4"/>
      <c r="B4"/>
      <c r="D4" s="97" t="s">
        <v>5021</v>
      </c>
    </row>
    <row r="5" spans="1:4" ht="12.75" customHeight="1" x14ac:dyDescent="0.35">
      <c r="A5"/>
      <c r="B5"/>
    </row>
    <row r="6" spans="1:4" ht="12.75" customHeight="1" x14ac:dyDescent="0.35">
      <c r="A6"/>
      <c r="B6"/>
      <c r="C6" s="159" t="s">
        <v>3953</v>
      </c>
    </row>
    <row r="7" spans="1:4" ht="12.75" customHeight="1" x14ac:dyDescent="0.35">
      <c r="A7"/>
      <c r="B7"/>
    </row>
    <row r="8" spans="1:4" ht="12.75" customHeight="1" x14ac:dyDescent="0.35">
      <c r="A8"/>
      <c r="B8"/>
      <c r="C8" s="97" t="s">
        <v>5022</v>
      </c>
    </row>
    <row r="9" spans="1:4" ht="12.75" customHeight="1" x14ac:dyDescent="0.35">
      <c r="A9"/>
      <c r="B9"/>
      <c r="C9" s="97" t="s">
        <v>5023</v>
      </c>
    </row>
    <row r="10" spans="1:4" ht="12.75" customHeight="1" x14ac:dyDescent="0.35">
      <c r="A10"/>
      <c r="B10"/>
      <c r="C10" s="97" t="s">
        <v>5024</v>
      </c>
    </row>
    <row r="11" spans="1:4" ht="12.75" customHeight="1" x14ac:dyDescent="0.35">
      <c r="A11"/>
      <c r="B11"/>
      <c r="C11" s="97" t="s">
        <v>5025</v>
      </c>
    </row>
    <row r="12" spans="1:4" ht="12.75" customHeight="1" x14ac:dyDescent="0.35">
      <c r="A12"/>
      <c r="B12"/>
      <c r="C12" s="97" t="s">
        <v>5026</v>
      </c>
    </row>
    <row r="13" spans="1:4" ht="12.75" customHeight="1" x14ac:dyDescent="0.35">
      <c r="A13"/>
      <c r="B13"/>
      <c r="C13" s="97" t="s">
        <v>5027</v>
      </c>
    </row>
    <row r="14" spans="1:4" ht="12.75" customHeight="1" x14ac:dyDescent="0.35">
      <c r="A14"/>
      <c r="B14"/>
      <c r="C14" s="97" t="s">
        <v>5028</v>
      </c>
    </row>
    <row r="15" spans="1:4" ht="12.75" customHeight="1" x14ac:dyDescent="0.35">
      <c r="A15"/>
      <c r="B15"/>
      <c r="C15" s="97" t="s">
        <v>3988</v>
      </c>
    </row>
    <row r="16" spans="1:4" ht="12.75" customHeight="1" x14ac:dyDescent="0.35">
      <c r="A16"/>
      <c r="B16"/>
      <c r="C16" s="97" t="s">
        <v>5029</v>
      </c>
    </row>
    <row r="17" spans="1:3" ht="12.75" customHeight="1" x14ac:dyDescent="0.35">
      <c r="A17"/>
      <c r="B17"/>
    </row>
    <row r="18" spans="1:3" ht="12.75" customHeight="1" x14ac:dyDescent="0.35">
      <c r="A18"/>
      <c r="B18"/>
      <c r="C18" s="97" t="s">
        <v>5030</v>
      </c>
    </row>
    <row r="19" spans="1:3" ht="12.75" customHeight="1" x14ac:dyDescent="0.35">
      <c r="A19"/>
      <c r="B19"/>
      <c r="C19" s="97" t="s">
        <v>5031</v>
      </c>
    </row>
    <row r="20" spans="1:3" ht="12.75" customHeight="1" x14ac:dyDescent="0.35">
      <c r="A20"/>
      <c r="B20"/>
      <c r="C20" s="97" t="s">
        <v>5032</v>
      </c>
    </row>
    <row r="21" spans="1:3" ht="12.75" customHeight="1" x14ac:dyDescent="0.35">
      <c r="A21"/>
      <c r="B21"/>
      <c r="C21" s="97" t="s">
        <v>5033</v>
      </c>
    </row>
    <row r="22" spans="1:3" ht="12.75" customHeight="1" x14ac:dyDescent="0.35">
      <c r="A22"/>
      <c r="B22"/>
    </row>
    <row r="23" spans="1:3" ht="12.75" customHeight="1" x14ac:dyDescent="0.35">
      <c r="A23"/>
      <c r="B23"/>
      <c r="C23" s="97" t="s">
        <v>5034</v>
      </c>
    </row>
    <row r="24" spans="1:3" ht="12.75" customHeight="1" x14ac:dyDescent="0.35">
      <c r="A24"/>
      <c r="B24"/>
      <c r="C24" s="97" t="s">
        <v>5035</v>
      </c>
    </row>
    <row r="25" spans="1:3" ht="12.75" customHeight="1" x14ac:dyDescent="0.35">
      <c r="A25"/>
      <c r="B25"/>
      <c r="C25" s="97" t="s">
        <v>5036</v>
      </c>
    </row>
    <row r="26" spans="1:3" ht="12.75" customHeight="1" x14ac:dyDescent="0.35">
      <c r="A26"/>
      <c r="B26"/>
    </row>
    <row r="27" spans="1:3" ht="12.75" customHeight="1" x14ac:dyDescent="0.35">
      <c r="A27"/>
      <c r="B27"/>
      <c r="C27" s="97" t="s">
        <v>5037</v>
      </c>
    </row>
    <row r="28" spans="1:3" ht="12.75" customHeight="1" x14ac:dyDescent="0.35">
      <c r="A28"/>
      <c r="B28"/>
      <c r="C28" s="97" t="s">
        <v>5038</v>
      </c>
    </row>
    <row r="29" spans="1:3" ht="12.75" customHeight="1" x14ac:dyDescent="0.35">
      <c r="A29"/>
      <c r="B29"/>
      <c r="C29" s="97" t="s">
        <v>5039</v>
      </c>
    </row>
    <row r="30" spans="1:3" ht="12.75" customHeight="1" x14ac:dyDescent="0.35">
      <c r="A30"/>
      <c r="B30"/>
      <c r="C30" s="97" t="s">
        <v>5040</v>
      </c>
    </row>
    <row r="31" spans="1:3" ht="12.75" customHeight="1" x14ac:dyDescent="0.35">
      <c r="A31"/>
      <c r="B31"/>
    </row>
    <row r="32" spans="1:3" ht="12.75" customHeight="1" x14ac:dyDescent="0.35">
      <c r="A32"/>
      <c r="B32"/>
      <c r="C32" s="97" t="s">
        <v>5041</v>
      </c>
    </row>
    <row r="33" spans="1:3" ht="12.75" customHeight="1" x14ac:dyDescent="0.35">
      <c r="A33"/>
      <c r="B33"/>
      <c r="C33" s="97" t="s">
        <v>5042</v>
      </c>
    </row>
    <row r="34" spans="1:3" ht="12.75" customHeight="1" x14ac:dyDescent="0.35">
      <c r="A34"/>
      <c r="B34"/>
      <c r="C34" s="97" t="s">
        <v>5043</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4058</v>
      </c>
    </row>
    <row r="40" spans="1:3" ht="12.75" customHeight="1" x14ac:dyDescent="0.35">
      <c r="A40"/>
      <c r="B40"/>
    </row>
    <row r="41" spans="1:3" ht="12.75" customHeight="1" x14ac:dyDescent="0.35">
      <c r="A41"/>
      <c r="B41"/>
      <c r="C41" s="97" t="s">
        <v>4059</v>
      </c>
    </row>
    <row r="42" spans="1:3" ht="12.75" customHeight="1" x14ac:dyDescent="0.35">
      <c r="A42"/>
      <c r="B42"/>
      <c r="C42" s="97" t="s">
        <v>5044</v>
      </c>
    </row>
    <row r="43" spans="1:3" ht="12.75" customHeight="1" x14ac:dyDescent="0.35">
      <c r="A43"/>
      <c r="B43"/>
      <c r="C43" s="97" t="s">
        <v>4062</v>
      </c>
    </row>
    <row r="44" spans="1:3" ht="12.75" customHeight="1" x14ac:dyDescent="0.35">
      <c r="A44"/>
      <c r="B44"/>
      <c r="C44" s="97" t="s">
        <v>5045</v>
      </c>
    </row>
    <row r="45" spans="1:3" ht="12.75" customHeight="1" x14ac:dyDescent="0.35">
      <c r="A45"/>
      <c r="B45"/>
      <c r="C45" s="97" t="s">
        <v>5046</v>
      </c>
    </row>
    <row r="46" spans="1:3" ht="12.75" customHeight="1" x14ac:dyDescent="0.35">
      <c r="A46"/>
      <c r="B46"/>
      <c r="C46" s="97" t="s">
        <v>5047</v>
      </c>
    </row>
    <row r="47" spans="1:3" ht="12.75" customHeight="1" x14ac:dyDescent="0.35">
      <c r="A47"/>
      <c r="B47"/>
      <c r="C47" s="97" t="s">
        <v>5048</v>
      </c>
    </row>
    <row r="48" spans="1:3" ht="12.75" customHeight="1" x14ac:dyDescent="0.35">
      <c r="A48"/>
      <c r="B48"/>
      <c r="C48" s="97" t="s">
        <v>5049</v>
      </c>
    </row>
    <row r="49" spans="1:3" ht="12.75" customHeight="1" x14ac:dyDescent="0.35">
      <c r="A49"/>
      <c r="B49"/>
      <c r="C49" s="97" t="s">
        <v>5050</v>
      </c>
    </row>
    <row r="50" spans="1:3" ht="12.75" customHeight="1" x14ac:dyDescent="0.35">
      <c r="A50"/>
      <c r="B50"/>
    </row>
    <row r="51" spans="1:3" ht="12.75" customHeight="1" x14ac:dyDescent="0.35">
      <c r="A51"/>
      <c r="B51"/>
      <c r="C51" s="97" t="s">
        <v>5051</v>
      </c>
    </row>
    <row r="52" spans="1:3" ht="12.75" customHeight="1" x14ac:dyDescent="0.35">
      <c r="A52"/>
      <c r="B52"/>
      <c r="C52" s="97" t="s">
        <v>4013</v>
      </c>
    </row>
    <row r="53" spans="1:3" ht="12.75" customHeight="1" x14ac:dyDescent="0.35">
      <c r="A53"/>
      <c r="B53"/>
      <c r="C53" s="97" t="s">
        <v>5052</v>
      </c>
    </row>
    <row r="54" spans="1:3" ht="12.75" customHeight="1" x14ac:dyDescent="0.35">
      <c r="A54"/>
      <c r="B54"/>
      <c r="C54" s="97" t="s">
        <v>5053</v>
      </c>
    </row>
    <row r="55" spans="1:3" ht="12.75" customHeight="1" x14ac:dyDescent="0.35">
      <c r="A55"/>
      <c r="B55"/>
      <c r="C55" s="97" t="s">
        <v>4095</v>
      </c>
    </row>
    <row r="56" spans="1:3" ht="12.75" customHeight="1" x14ac:dyDescent="0.35">
      <c r="A56"/>
      <c r="B56"/>
    </row>
    <row r="57" spans="1:3" ht="12.75" customHeight="1" x14ac:dyDescent="0.35">
      <c r="A57"/>
      <c r="B57"/>
      <c r="C57" s="97" t="s">
        <v>5054</v>
      </c>
    </row>
    <row r="58" spans="1:3" ht="12.75" customHeight="1" x14ac:dyDescent="0.35">
      <c r="A58"/>
      <c r="B58"/>
    </row>
    <row r="59" spans="1:3" ht="12.75" customHeight="1" x14ac:dyDescent="0.35">
      <c r="A59"/>
      <c r="B59"/>
      <c r="C59" s="97" t="s">
        <v>5055</v>
      </c>
    </row>
    <row r="60" spans="1:3" ht="12.75" customHeight="1" x14ac:dyDescent="0.35">
      <c r="A60"/>
      <c r="B60"/>
      <c r="C60" s="97" t="s">
        <v>5056</v>
      </c>
    </row>
    <row r="61" spans="1:3" ht="12.75" customHeight="1" x14ac:dyDescent="0.35">
      <c r="A61"/>
      <c r="B61"/>
      <c r="C61" s="97" t="s">
        <v>3930</v>
      </c>
    </row>
    <row r="62" spans="1:3" ht="12.75" customHeight="1" x14ac:dyDescent="0.35">
      <c r="A62"/>
      <c r="B62"/>
      <c r="C62" s="97" t="s">
        <v>5057</v>
      </c>
    </row>
    <row r="63" spans="1:3" ht="12.75" customHeight="1" x14ac:dyDescent="0.35">
      <c r="A63"/>
      <c r="B63"/>
      <c r="C63" s="97" t="s">
        <v>5058</v>
      </c>
    </row>
    <row r="64" spans="1:3" ht="12.75" customHeight="1" x14ac:dyDescent="0.35">
      <c r="A64"/>
      <c r="B64"/>
      <c r="C64" s="97" t="s">
        <v>3981</v>
      </c>
    </row>
    <row r="65" spans="1:3" ht="12.75" customHeight="1" x14ac:dyDescent="0.35">
      <c r="A65"/>
      <c r="B65"/>
      <c r="C65" s="97" t="s">
        <v>5059</v>
      </c>
    </row>
    <row r="66" spans="1:3" ht="12.75" customHeight="1" x14ac:dyDescent="0.35">
      <c r="A66"/>
      <c r="B66"/>
    </row>
    <row r="67" spans="1:3" ht="12.75" customHeight="1" x14ac:dyDescent="0.35">
      <c r="A67"/>
      <c r="B67"/>
      <c r="C67" s="97" t="s">
        <v>5060</v>
      </c>
    </row>
    <row r="68" spans="1:3" ht="12.75" customHeight="1" x14ac:dyDescent="0.35">
      <c r="A68"/>
      <c r="B68"/>
      <c r="C68" s="97" t="s">
        <v>4106</v>
      </c>
    </row>
    <row r="69" spans="1:3" ht="12.75" customHeight="1" x14ac:dyDescent="0.35">
      <c r="A69"/>
      <c r="B69"/>
      <c r="C69" s="97" t="s">
        <v>5061</v>
      </c>
    </row>
    <row r="70" spans="1:3" ht="12.75" customHeight="1" x14ac:dyDescent="0.35">
      <c r="A70"/>
      <c r="B70"/>
      <c r="C70" s="97" t="s">
        <v>3937</v>
      </c>
    </row>
    <row r="71" spans="1:3" ht="12.75" customHeight="1" x14ac:dyDescent="0.35">
      <c r="A71"/>
      <c r="B71"/>
      <c r="C71" s="97" t="s">
        <v>4104</v>
      </c>
    </row>
    <row r="72" spans="1:3" ht="12.75" customHeight="1" x14ac:dyDescent="0.35">
      <c r="A72"/>
      <c r="B72"/>
      <c r="C72" s="97" t="s">
        <v>5062</v>
      </c>
    </row>
    <row r="73" spans="1:3" ht="12.75" customHeight="1" x14ac:dyDescent="0.35">
      <c r="A73"/>
      <c r="B73"/>
      <c r="C73" s="97" t="s">
        <v>5063</v>
      </c>
    </row>
    <row r="74" spans="1:3" ht="12.75" customHeight="1" x14ac:dyDescent="0.35">
      <c r="A74"/>
      <c r="B74"/>
    </row>
    <row r="75" spans="1:3" ht="12.75" customHeight="1" x14ac:dyDescent="0.35">
      <c r="A75"/>
      <c r="B75"/>
      <c r="C75" s="97" t="s">
        <v>4017</v>
      </c>
    </row>
    <row r="76" spans="1:3" ht="12.75" customHeight="1" x14ac:dyDescent="0.35">
      <c r="A76"/>
      <c r="B76"/>
      <c r="C76" s="97" t="s">
        <v>5061</v>
      </c>
    </row>
    <row r="77" spans="1:3" ht="12.75" customHeight="1" x14ac:dyDescent="0.35">
      <c r="A77"/>
      <c r="B77"/>
      <c r="C77" s="97" t="s">
        <v>5064</v>
      </c>
    </row>
    <row r="78" spans="1:3" ht="12.75" customHeight="1" x14ac:dyDescent="0.35">
      <c r="A78"/>
      <c r="B78"/>
      <c r="C78" s="97" t="s">
        <v>5065</v>
      </c>
    </row>
    <row r="79" spans="1:3" ht="12.75" customHeight="1" x14ac:dyDescent="0.35">
      <c r="A79"/>
      <c r="B79"/>
      <c r="C79" s="97" t="s">
        <v>5066</v>
      </c>
    </row>
    <row r="80" spans="1:3" ht="12.75" customHeight="1" x14ac:dyDescent="0.35">
      <c r="A80"/>
      <c r="B80"/>
    </row>
    <row r="81" spans="1:3" ht="12.75" customHeight="1" x14ac:dyDescent="0.35">
      <c r="A81"/>
      <c r="B81"/>
      <c r="C81" s="97" t="s">
        <v>5067</v>
      </c>
    </row>
    <row r="82" spans="1:3" ht="12.75" customHeight="1" x14ac:dyDescent="0.35">
      <c r="A82"/>
      <c r="B82"/>
    </row>
    <row r="83" spans="1:3" ht="12.75" customHeight="1" x14ac:dyDescent="0.35">
      <c r="A83"/>
      <c r="B83"/>
      <c r="C83" s="97" t="s">
        <v>5068</v>
      </c>
    </row>
    <row r="84" spans="1:3" ht="12.75" customHeight="1" x14ac:dyDescent="0.35">
      <c r="A84"/>
      <c r="B84"/>
    </row>
    <row r="85" spans="1:3" ht="12.75" customHeight="1" x14ac:dyDescent="0.35">
      <c r="A85"/>
      <c r="B85"/>
      <c r="C85" s="159" t="s">
        <v>4027</v>
      </c>
    </row>
    <row r="86" spans="1:3" ht="12.75" customHeight="1" x14ac:dyDescent="0.35">
      <c r="A86"/>
      <c r="B86"/>
    </row>
    <row r="87" spans="1:3" ht="12.75" customHeight="1" x14ac:dyDescent="0.35">
      <c r="A87"/>
      <c r="B87"/>
      <c r="C87" s="97" t="s">
        <v>5069</v>
      </c>
    </row>
    <row r="88" spans="1:3" ht="12.75" customHeight="1" x14ac:dyDescent="0.35">
      <c r="A88"/>
      <c r="B88"/>
      <c r="C88" s="97" t="s">
        <v>5070</v>
      </c>
    </row>
    <row r="89" spans="1:3" ht="12.75" customHeight="1" x14ac:dyDescent="0.35">
      <c r="A89"/>
      <c r="B89"/>
      <c r="C89" s="97" t="s">
        <v>5071</v>
      </c>
    </row>
    <row r="90" spans="1:3" ht="12.75" customHeight="1" x14ac:dyDescent="0.35">
      <c r="A90"/>
      <c r="B90"/>
      <c r="C90" s="97" t="s">
        <v>5031</v>
      </c>
    </row>
    <row r="91" spans="1:3" ht="12.75" customHeight="1" x14ac:dyDescent="0.35">
      <c r="A91"/>
      <c r="B91"/>
      <c r="C91" s="97" t="s">
        <v>5072</v>
      </c>
    </row>
    <row r="92" spans="1:3" ht="12.75" customHeight="1" x14ac:dyDescent="0.35">
      <c r="A92"/>
      <c r="B92"/>
      <c r="C92" s="97" t="s">
        <v>5073</v>
      </c>
    </row>
    <row r="93" spans="1:3" ht="12.75" customHeight="1" x14ac:dyDescent="0.35">
      <c r="A93"/>
      <c r="B93"/>
      <c r="C93" s="97" t="s">
        <v>5074</v>
      </c>
    </row>
    <row r="94" spans="1:3" ht="12.75" customHeight="1" x14ac:dyDescent="0.35">
      <c r="A94"/>
      <c r="B94"/>
      <c r="C94" s="97" t="s">
        <v>5075</v>
      </c>
    </row>
    <row r="95" spans="1:3" ht="12.75" customHeight="1" x14ac:dyDescent="0.35">
      <c r="A95"/>
      <c r="B95"/>
      <c r="C95" s="97" t="s">
        <v>5076</v>
      </c>
    </row>
    <row r="96" spans="1:3" ht="12.75" customHeight="1" x14ac:dyDescent="0.35">
      <c r="A96"/>
      <c r="B96"/>
      <c r="C96" s="97" t="s">
        <v>5077</v>
      </c>
    </row>
    <row r="97" spans="1:3" ht="12.75" customHeight="1" x14ac:dyDescent="0.35">
      <c r="A97"/>
      <c r="B97"/>
      <c r="C97" s="97" t="s">
        <v>5078</v>
      </c>
    </row>
    <row r="98" spans="1:3" ht="12.75" customHeight="1" x14ac:dyDescent="0.35">
      <c r="A98"/>
      <c r="B98"/>
    </row>
    <row r="99" spans="1:3" ht="12.75" customHeight="1" x14ac:dyDescent="0.35">
      <c r="A99"/>
      <c r="B99"/>
      <c r="C99" s="97" t="s">
        <v>5079</v>
      </c>
    </row>
    <row r="100" spans="1:3" ht="12.75" customHeight="1" x14ac:dyDescent="0.35">
      <c r="A100"/>
      <c r="B100"/>
      <c r="C100" s="97" t="s">
        <v>5080</v>
      </c>
    </row>
    <row r="101" spans="1:3" ht="12.75" customHeight="1" x14ac:dyDescent="0.35">
      <c r="A101"/>
      <c r="B101"/>
      <c r="C101" s="97" t="s">
        <v>5081</v>
      </c>
    </row>
    <row r="102" spans="1:3" ht="12.75" customHeight="1" x14ac:dyDescent="0.35">
      <c r="A102"/>
      <c r="B102"/>
      <c r="C102" s="97" t="s">
        <v>5082</v>
      </c>
    </row>
    <row r="103" spans="1:3" ht="12.75" customHeight="1" x14ac:dyDescent="0.35">
      <c r="A103"/>
      <c r="B103"/>
      <c r="C103" s="97" t="s">
        <v>5083</v>
      </c>
    </row>
    <row r="104" spans="1:3" ht="12.75" customHeight="1" x14ac:dyDescent="0.35">
      <c r="A104"/>
      <c r="B104"/>
      <c r="C104" s="97" t="s">
        <v>5084</v>
      </c>
    </row>
    <row r="105" spans="1:3" ht="12.75" customHeight="1" x14ac:dyDescent="0.35">
      <c r="A105"/>
      <c r="B105"/>
      <c r="C105" s="97" t="s">
        <v>5085</v>
      </c>
    </row>
    <row r="106" spans="1:3" ht="12.75" customHeight="1" x14ac:dyDescent="0.35">
      <c r="A106"/>
      <c r="B106"/>
      <c r="C106" s="97" t="s">
        <v>5086</v>
      </c>
    </row>
    <row r="107" spans="1:3" ht="12.75" customHeight="1" x14ac:dyDescent="0.35">
      <c r="A107"/>
      <c r="B107"/>
      <c r="C107" s="97" t="s">
        <v>5087</v>
      </c>
    </row>
    <row r="108" spans="1:3" ht="12.75" customHeight="1" x14ac:dyDescent="0.35">
      <c r="A108"/>
      <c r="B108"/>
    </row>
    <row r="109" spans="1:3" ht="12.75" customHeight="1" x14ac:dyDescent="0.35">
      <c r="A109"/>
      <c r="B109"/>
      <c r="C109" s="97" t="s">
        <v>5088</v>
      </c>
    </row>
    <row r="110" spans="1:3" ht="12.75" customHeight="1" x14ac:dyDescent="0.35">
      <c r="A110"/>
      <c r="B110"/>
    </row>
    <row r="111" spans="1:3" ht="12.75" customHeight="1" x14ac:dyDescent="0.35">
      <c r="A111"/>
      <c r="B111"/>
      <c r="C111" s="97" t="s">
        <v>5089</v>
      </c>
    </row>
    <row r="112" spans="1:3" ht="12.75" customHeight="1" x14ac:dyDescent="0.35">
      <c r="A112"/>
      <c r="B112"/>
      <c r="C112" s="97" t="s">
        <v>5090</v>
      </c>
    </row>
    <row r="113" spans="1:3" ht="12.75" customHeight="1" x14ac:dyDescent="0.35">
      <c r="A113"/>
      <c r="B113"/>
      <c r="C113" s="97" t="s">
        <v>5091</v>
      </c>
    </row>
    <row r="114" spans="1:3" ht="12.75" customHeight="1" x14ac:dyDescent="0.35">
      <c r="A114"/>
      <c r="B114"/>
      <c r="C114" s="97" t="s">
        <v>5092</v>
      </c>
    </row>
    <row r="115" spans="1:3" ht="12.75" customHeight="1" x14ac:dyDescent="0.35">
      <c r="A115"/>
      <c r="B115"/>
      <c r="C115" s="97" t="s">
        <v>5093</v>
      </c>
    </row>
    <row r="116" spans="1:3" ht="12.75" customHeight="1" x14ac:dyDescent="0.35">
      <c r="A116"/>
      <c r="B116"/>
      <c r="C116" s="97" t="s">
        <v>5094</v>
      </c>
    </row>
    <row r="117" spans="1:3" ht="12.75" customHeight="1" x14ac:dyDescent="0.35">
      <c r="A117"/>
      <c r="B117"/>
      <c r="C117" s="97" t="s">
        <v>5095</v>
      </c>
    </row>
    <row r="118" spans="1:3" ht="12.75" customHeight="1" x14ac:dyDescent="0.35"/>
    <row r="119" spans="1:3" ht="12.75" customHeight="1" x14ac:dyDescent="0.35">
      <c r="C119" s="97" t="s">
        <v>5096</v>
      </c>
    </row>
    <row r="120" spans="1:3" ht="12.75" customHeight="1" x14ac:dyDescent="0.35">
      <c r="C120" s="97" t="s">
        <v>5097</v>
      </c>
    </row>
  </sheetData>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tabColor rgb="FF92D050"/>
    <pageSetUpPr autoPageBreaks="0"/>
  </sheetPr>
  <dimension ref="B1:I120"/>
  <sheetViews>
    <sheetView workbookViewId="0">
      <selection activeCell="D4" sqref="D4"/>
    </sheetView>
  </sheetViews>
  <sheetFormatPr defaultColWidth="9.1796875" defaultRowHeight="14.5" x14ac:dyDescent="0.35"/>
  <cols>
    <col min="1" max="16384" width="9.1796875" style="1285"/>
  </cols>
  <sheetData>
    <row r="1" spans="2:7" ht="12.75" customHeight="1" x14ac:dyDescent="0.35">
      <c r="B1" s="1296"/>
    </row>
    <row r="2" spans="2:7" ht="12.75" customHeight="1" x14ac:dyDescent="0.35"/>
    <row r="3" spans="2:7" ht="12.75" customHeight="1" x14ac:dyDescent="0.35"/>
    <row r="4" spans="2:7" ht="12.75" customHeight="1" x14ac:dyDescent="0.35">
      <c r="D4" s="220" t="s">
        <v>6013</v>
      </c>
      <c r="G4" s="97"/>
    </row>
    <row r="5" spans="2:7" ht="12.75" customHeight="1" x14ac:dyDescent="0.35"/>
    <row r="6" spans="2:7" ht="12.75" customHeight="1" x14ac:dyDescent="0.35">
      <c r="C6" s="220" t="s">
        <v>6014</v>
      </c>
    </row>
    <row r="7" spans="2:7" ht="12.75" customHeight="1" x14ac:dyDescent="0.35"/>
    <row r="8" spans="2:7" ht="12.75" customHeight="1" x14ac:dyDescent="0.35">
      <c r="C8" s="220" t="s">
        <v>6015</v>
      </c>
    </row>
    <row r="9" spans="2:7" ht="12.75" customHeight="1" x14ac:dyDescent="0.35">
      <c r="C9" s="220" t="s">
        <v>6016</v>
      </c>
    </row>
    <row r="10" spans="2:7" ht="12.75" customHeight="1" x14ac:dyDescent="0.35">
      <c r="C10" s="220" t="s">
        <v>6017</v>
      </c>
    </row>
    <row r="11" spans="2:7" ht="12.75" customHeight="1" x14ac:dyDescent="0.35">
      <c r="C11" s="220" t="s">
        <v>6018</v>
      </c>
    </row>
    <row r="12" spans="2:7" ht="12.75" customHeight="1" x14ac:dyDescent="0.35">
      <c r="C12" s="220" t="s">
        <v>6019</v>
      </c>
    </row>
    <row r="13" spans="2:7" ht="12.75" customHeight="1" x14ac:dyDescent="0.35">
      <c r="C13" s="220" t="s">
        <v>6020</v>
      </c>
    </row>
    <row r="14" spans="2:7" ht="12.75" customHeight="1" x14ac:dyDescent="0.35">
      <c r="C14" s="220" t="s">
        <v>6021</v>
      </c>
    </row>
    <row r="15" spans="2:7" ht="12.75" customHeight="1" x14ac:dyDescent="0.35">
      <c r="C15" s="220" t="s">
        <v>5816</v>
      </c>
    </row>
    <row r="16" spans="2:7" ht="12.75" customHeight="1" x14ac:dyDescent="0.35">
      <c r="C16" s="220" t="s">
        <v>6022</v>
      </c>
      <c r="E16" s="97"/>
    </row>
    <row r="17" spans="3:3" ht="12.75" customHeight="1" x14ac:dyDescent="0.35"/>
    <row r="18" spans="3:3" ht="12.75" customHeight="1" x14ac:dyDescent="0.35">
      <c r="C18" s="97" t="s">
        <v>6023</v>
      </c>
    </row>
    <row r="19" spans="3:3" ht="12.75" customHeight="1" x14ac:dyDescent="0.35">
      <c r="C19" s="220" t="s">
        <v>6024</v>
      </c>
    </row>
    <row r="20" spans="3:3" ht="12.75" customHeight="1" x14ac:dyDescent="0.35">
      <c r="C20" s="220" t="s">
        <v>6025</v>
      </c>
    </row>
    <row r="21" spans="3:3" ht="12.75" customHeight="1" x14ac:dyDescent="0.35">
      <c r="C21" s="220" t="s">
        <v>6026</v>
      </c>
    </row>
    <row r="22" spans="3:3" ht="12.75" customHeight="1" x14ac:dyDescent="0.35"/>
    <row r="23" spans="3:3" ht="12.75" customHeight="1" x14ac:dyDescent="0.35">
      <c r="C23" s="220" t="s">
        <v>6027</v>
      </c>
    </row>
    <row r="24" spans="3:3" ht="12.75" customHeight="1" x14ac:dyDescent="0.35">
      <c r="C24" s="220" t="s">
        <v>6028</v>
      </c>
    </row>
    <row r="25" spans="3:3" ht="12.75" customHeight="1" x14ac:dyDescent="0.35">
      <c r="C25" s="220" t="s">
        <v>6029</v>
      </c>
    </row>
    <row r="26" spans="3:3" ht="12.75" customHeight="1" x14ac:dyDescent="0.35"/>
    <row r="27" spans="3:3" ht="12.75" customHeight="1" x14ac:dyDescent="0.35">
      <c r="C27" s="220" t="s">
        <v>6030</v>
      </c>
    </row>
    <row r="28" spans="3:3" ht="12.75" customHeight="1" x14ac:dyDescent="0.35">
      <c r="C28" s="220" t="s">
        <v>6031</v>
      </c>
    </row>
    <row r="29" spans="3:3" ht="12.75" customHeight="1" x14ac:dyDescent="0.35">
      <c r="C29" s="220" t="s">
        <v>6032</v>
      </c>
    </row>
    <row r="30" spans="3:3" ht="12.75" customHeight="1" x14ac:dyDescent="0.35">
      <c r="C30" s="220" t="s">
        <v>6033</v>
      </c>
    </row>
    <row r="31" spans="3:3" ht="12.75" customHeight="1" x14ac:dyDescent="0.35"/>
    <row r="32" spans="3:3" ht="12.75" customHeight="1" x14ac:dyDescent="0.35">
      <c r="C32" s="220" t="s">
        <v>6034</v>
      </c>
    </row>
    <row r="33" spans="3:3" ht="12.75" customHeight="1" x14ac:dyDescent="0.35">
      <c r="C33" s="220" t="s">
        <v>6035</v>
      </c>
    </row>
    <row r="34" spans="3:3" ht="12.75" customHeight="1" x14ac:dyDescent="0.35">
      <c r="C34" s="220" t="s">
        <v>6036</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220" t="s">
        <v>6037</v>
      </c>
    </row>
    <row r="40" spans="3:3" ht="12.75" customHeight="1" x14ac:dyDescent="0.35"/>
    <row r="41" spans="3:3" ht="12.75" customHeight="1" x14ac:dyDescent="0.35">
      <c r="C41" s="220" t="s">
        <v>5901</v>
      </c>
    </row>
    <row r="42" spans="3:3" ht="12.75" customHeight="1" x14ac:dyDescent="0.35">
      <c r="C42" s="220" t="s">
        <v>6038</v>
      </c>
    </row>
    <row r="43" spans="3:3" ht="12.75" customHeight="1" x14ac:dyDescent="0.35">
      <c r="C43" s="220" t="s">
        <v>5904</v>
      </c>
    </row>
    <row r="44" spans="3:3" ht="12.75" customHeight="1" x14ac:dyDescent="0.35">
      <c r="C44" s="220" t="s">
        <v>6039</v>
      </c>
    </row>
    <row r="45" spans="3:3" ht="12.75" customHeight="1" x14ac:dyDescent="0.35">
      <c r="C45" s="220" t="s">
        <v>6040</v>
      </c>
    </row>
    <row r="46" spans="3:3" ht="12.75" customHeight="1" x14ac:dyDescent="0.35">
      <c r="C46" s="220" t="s">
        <v>6041</v>
      </c>
    </row>
    <row r="47" spans="3:3" ht="12.75" customHeight="1" x14ac:dyDescent="0.35">
      <c r="C47" s="220" t="s">
        <v>6042</v>
      </c>
    </row>
    <row r="48" spans="3:3" ht="12.75" customHeight="1" x14ac:dyDescent="0.35">
      <c r="C48" s="220" t="s">
        <v>6043</v>
      </c>
    </row>
    <row r="49" spans="3:3" ht="12.75" customHeight="1" x14ac:dyDescent="0.35">
      <c r="C49" s="220" t="s">
        <v>6044</v>
      </c>
    </row>
    <row r="50" spans="3:3" ht="12.75" customHeight="1" x14ac:dyDescent="0.35"/>
    <row r="51" spans="3:3" ht="12.75" customHeight="1" x14ac:dyDescent="0.35">
      <c r="C51" s="220" t="s">
        <v>6045</v>
      </c>
    </row>
    <row r="52" spans="3:3" ht="12.75" customHeight="1" x14ac:dyDescent="0.35">
      <c r="C52" s="220" t="s">
        <v>5844</v>
      </c>
    </row>
    <row r="53" spans="3:3" ht="12.75" customHeight="1" x14ac:dyDescent="0.35">
      <c r="C53" s="220" t="s">
        <v>6046</v>
      </c>
    </row>
    <row r="54" spans="3:3" ht="12.75" customHeight="1" x14ac:dyDescent="0.35">
      <c r="C54" s="220" t="s">
        <v>6047</v>
      </c>
    </row>
    <row r="55" spans="3:3" ht="12.75" customHeight="1" x14ac:dyDescent="0.35">
      <c r="C55" s="220" t="s">
        <v>6048</v>
      </c>
    </row>
    <row r="56" spans="3:3" ht="12.75" customHeight="1" x14ac:dyDescent="0.35"/>
    <row r="57" spans="3:3" ht="12.75" customHeight="1" x14ac:dyDescent="0.35">
      <c r="C57" s="220" t="s">
        <v>6049</v>
      </c>
    </row>
    <row r="58" spans="3:3" ht="12.75" customHeight="1" x14ac:dyDescent="0.35"/>
    <row r="59" spans="3:3" ht="12.75" customHeight="1" x14ac:dyDescent="0.35">
      <c r="C59" s="220" t="s">
        <v>5771</v>
      </c>
    </row>
    <row r="60" spans="3:3" ht="12.75" customHeight="1" x14ac:dyDescent="0.35">
      <c r="C60" s="220" t="s">
        <v>6050</v>
      </c>
    </row>
    <row r="61" spans="3:3" ht="12.75" customHeight="1" x14ac:dyDescent="0.35">
      <c r="C61" s="220" t="s">
        <v>5754</v>
      </c>
    </row>
    <row r="62" spans="3:3" ht="12.75" customHeight="1" x14ac:dyDescent="0.35">
      <c r="C62" s="220" t="s">
        <v>6051</v>
      </c>
    </row>
    <row r="63" spans="3:3" ht="12.75" customHeight="1" x14ac:dyDescent="0.35">
      <c r="C63" s="220" t="s">
        <v>6052</v>
      </c>
    </row>
    <row r="64" spans="3:3" ht="12.75" customHeight="1" x14ac:dyDescent="0.35">
      <c r="C64" s="220" t="s">
        <v>6053</v>
      </c>
    </row>
    <row r="65" spans="3:3" ht="12.75" customHeight="1" x14ac:dyDescent="0.35">
      <c r="C65" s="220" t="s">
        <v>6054</v>
      </c>
    </row>
    <row r="66" spans="3:3" ht="12.75" customHeight="1" x14ac:dyDescent="0.35"/>
    <row r="67" spans="3:3" ht="12.75" customHeight="1" x14ac:dyDescent="0.35">
      <c r="C67" s="220" t="s">
        <v>6055</v>
      </c>
    </row>
    <row r="68" spans="3:3" ht="12.75" customHeight="1" x14ac:dyDescent="0.35">
      <c r="C68" s="220" t="s">
        <v>5950</v>
      </c>
    </row>
    <row r="69" spans="3:3" ht="12.75" customHeight="1" x14ac:dyDescent="0.35">
      <c r="C69" s="220" t="s">
        <v>6056</v>
      </c>
    </row>
    <row r="70" spans="3:3" ht="12.75" customHeight="1" x14ac:dyDescent="0.35">
      <c r="C70" s="220" t="s">
        <v>5761</v>
      </c>
    </row>
    <row r="71" spans="3:3" ht="12.75" customHeight="1" x14ac:dyDescent="0.35">
      <c r="C71" s="220" t="s">
        <v>5948</v>
      </c>
    </row>
    <row r="72" spans="3:3" ht="12.75" customHeight="1" x14ac:dyDescent="0.35">
      <c r="C72" s="220" t="s">
        <v>6057</v>
      </c>
    </row>
    <row r="73" spans="3:3" ht="12.75" customHeight="1" x14ac:dyDescent="0.35">
      <c r="C73" s="220" t="s">
        <v>6058</v>
      </c>
    </row>
    <row r="74" spans="3:3" ht="12.75" customHeight="1" x14ac:dyDescent="0.35"/>
    <row r="75" spans="3:3" ht="12.75" customHeight="1" x14ac:dyDescent="0.35">
      <c r="C75" s="220" t="s">
        <v>5953</v>
      </c>
    </row>
    <row r="76" spans="3:3" ht="12.75" customHeight="1" x14ac:dyDescent="0.35">
      <c r="C76" s="220" t="s">
        <v>6056</v>
      </c>
    </row>
    <row r="77" spans="3:3" ht="12.75" customHeight="1" x14ac:dyDescent="0.35">
      <c r="C77" s="220" t="s">
        <v>6059</v>
      </c>
    </row>
    <row r="78" spans="3:3" ht="12.75" customHeight="1" x14ac:dyDescent="0.35">
      <c r="C78" s="220" t="s">
        <v>6060</v>
      </c>
    </row>
    <row r="79" spans="3:3" ht="12.75" customHeight="1" x14ac:dyDescent="0.35">
      <c r="C79" s="220" t="s">
        <v>6061</v>
      </c>
    </row>
    <row r="80" spans="3:3" ht="12.75" customHeight="1" x14ac:dyDescent="0.35"/>
    <row r="81" spans="3:3" ht="12.75" customHeight="1" x14ac:dyDescent="0.35">
      <c r="C81" s="220" t="s">
        <v>6062</v>
      </c>
    </row>
    <row r="82" spans="3:3" ht="12.75" customHeight="1" x14ac:dyDescent="0.35"/>
    <row r="83" spans="3:3" ht="12.75" customHeight="1" x14ac:dyDescent="0.35">
      <c r="C83" s="220" t="s">
        <v>6063</v>
      </c>
    </row>
    <row r="84" spans="3:3" ht="12.75" customHeight="1" x14ac:dyDescent="0.35"/>
    <row r="85" spans="3:3" ht="12.75" customHeight="1" x14ac:dyDescent="0.35">
      <c r="C85" s="220" t="s">
        <v>6064</v>
      </c>
    </row>
    <row r="86" spans="3:3" ht="12.75" customHeight="1" x14ac:dyDescent="0.35"/>
    <row r="87" spans="3:3" ht="12.75" customHeight="1" x14ac:dyDescent="0.35">
      <c r="C87" s="220" t="s">
        <v>6065</v>
      </c>
    </row>
    <row r="88" spans="3:3" ht="12.75" customHeight="1" x14ac:dyDescent="0.35">
      <c r="C88" s="220" t="s">
        <v>6066</v>
      </c>
    </row>
    <row r="89" spans="3:3" ht="12.75" customHeight="1" x14ac:dyDescent="0.35">
      <c r="C89" s="1286" t="s">
        <v>6067</v>
      </c>
    </row>
    <row r="90" spans="3:3" ht="12.75" customHeight="1" x14ac:dyDescent="0.35">
      <c r="C90" s="97" t="s">
        <v>6024</v>
      </c>
    </row>
    <row r="91" spans="3:3" ht="12.75" customHeight="1" x14ac:dyDescent="0.35">
      <c r="C91" s="220" t="s">
        <v>6068</v>
      </c>
    </row>
    <row r="92" spans="3:3" ht="12.75" customHeight="1" x14ac:dyDescent="0.35">
      <c r="C92" s="220" t="s">
        <v>6069</v>
      </c>
    </row>
    <row r="93" spans="3:3" ht="12.75" customHeight="1" x14ac:dyDescent="0.35">
      <c r="C93" s="220" t="s">
        <v>6070</v>
      </c>
    </row>
    <row r="94" spans="3:3" ht="12.75" customHeight="1" x14ac:dyDescent="0.35">
      <c r="C94" s="220" t="s">
        <v>5868</v>
      </c>
    </row>
    <row r="95" spans="3:3" ht="12.75" customHeight="1" x14ac:dyDescent="0.35">
      <c r="C95" s="220" t="s">
        <v>6071</v>
      </c>
    </row>
    <row r="96" spans="3:3" ht="12.75" customHeight="1" x14ac:dyDescent="0.35">
      <c r="C96" s="220" t="s">
        <v>6072</v>
      </c>
    </row>
    <row r="97" spans="3:6" ht="12.75" customHeight="1" x14ac:dyDescent="0.35">
      <c r="C97" s="1286" t="s">
        <v>6073</v>
      </c>
    </row>
    <row r="98" spans="3:6" ht="12.75" customHeight="1" x14ac:dyDescent="0.35"/>
    <row r="99" spans="3:6" ht="12.75" customHeight="1" x14ac:dyDescent="0.35">
      <c r="C99" s="220" t="s">
        <v>6074</v>
      </c>
    </row>
    <row r="100" spans="3:6" ht="12.75" customHeight="1" x14ac:dyDescent="0.35">
      <c r="C100" s="220" t="s">
        <v>6075</v>
      </c>
    </row>
    <row r="101" spans="3:6" ht="12.75" customHeight="1" x14ac:dyDescent="0.35">
      <c r="C101" s="220" t="s">
        <v>6076</v>
      </c>
    </row>
    <row r="102" spans="3:6" ht="12.75" customHeight="1" x14ac:dyDescent="0.35">
      <c r="C102" s="220" t="s">
        <v>6077</v>
      </c>
    </row>
    <row r="103" spans="3:6" ht="12.75" customHeight="1" x14ac:dyDescent="0.35">
      <c r="C103" s="1286" t="s">
        <v>6078</v>
      </c>
    </row>
    <row r="104" spans="3:6" ht="12.75" customHeight="1" x14ac:dyDescent="0.35">
      <c r="C104" s="220" t="s">
        <v>6079</v>
      </c>
      <c r="F104" s="97" t="s">
        <v>6080</v>
      </c>
    </row>
    <row r="105" spans="3:6" ht="12.75" customHeight="1" x14ac:dyDescent="0.35">
      <c r="C105" s="220" t="s">
        <v>6081</v>
      </c>
    </row>
    <row r="106" spans="3:6" ht="12.75" customHeight="1" x14ac:dyDescent="0.35">
      <c r="C106" s="220" t="s">
        <v>6082</v>
      </c>
    </row>
    <row r="107" spans="3:6" ht="12.75" customHeight="1" x14ac:dyDescent="0.35">
      <c r="C107" s="220" t="s">
        <v>6083</v>
      </c>
    </row>
    <row r="108" spans="3:6" ht="12.75" customHeight="1" x14ac:dyDescent="0.35"/>
    <row r="109" spans="3:6" ht="12.75" customHeight="1" x14ac:dyDescent="0.35">
      <c r="C109" s="220" t="s">
        <v>6084</v>
      </c>
    </row>
    <row r="110" spans="3:6" ht="12.75" customHeight="1" x14ac:dyDescent="0.35"/>
    <row r="111" spans="3:6" ht="12.75" customHeight="1" x14ac:dyDescent="0.35">
      <c r="C111" s="220" t="s">
        <v>6085</v>
      </c>
    </row>
    <row r="112" spans="3:6" ht="12.75" customHeight="1" x14ac:dyDescent="0.35">
      <c r="C112" s="220" t="s">
        <v>6086</v>
      </c>
    </row>
    <row r="113" spans="3:9" ht="12.75" customHeight="1" x14ac:dyDescent="0.35">
      <c r="C113" s="220" t="s">
        <v>6087</v>
      </c>
    </row>
    <row r="114" spans="3:9" ht="12.75" customHeight="1" x14ac:dyDescent="0.35">
      <c r="C114" s="220" t="s">
        <v>6088</v>
      </c>
    </row>
    <row r="115" spans="3:9" ht="12.75" customHeight="1" x14ac:dyDescent="0.35">
      <c r="C115" s="220" t="s">
        <v>6089</v>
      </c>
      <c r="I115" s="97" t="s">
        <v>6090</v>
      </c>
    </row>
    <row r="116" spans="3:9" ht="12.75" customHeight="1" x14ac:dyDescent="0.35">
      <c r="C116" s="220" t="s">
        <v>6091</v>
      </c>
    </row>
    <row r="117" spans="3:9" ht="12.75" customHeight="1" x14ac:dyDescent="0.35">
      <c r="C117" s="220" t="s">
        <v>6092</v>
      </c>
    </row>
    <row r="118" spans="3:9" ht="12.75" customHeight="1" x14ac:dyDescent="0.35"/>
    <row r="119" spans="3:9" ht="12.75" customHeight="1" x14ac:dyDescent="0.35">
      <c r="C119" s="220" t="s">
        <v>6093</v>
      </c>
    </row>
    <row r="120" spans="3:9" ht="12.75" customHeight="1" x14ac:dyDescent="0.35">
      <c r="C120" s="220" t="s">
        <v>6093</v>
      </c>
      <c r="H120" s="97" t="s">
        <v>6094</v>
      </c>
    </row>
  </sheetData>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outlinePr showOutlineSymbols="0"/>
    <pageSetUpPr autoPageBreaks="0"/>
  </sheetPr>
  <dimension ref="A1:R121"/>
  <sheetViews>
    <sheetView showGridLines="0" showRowColHeaders="0" showOutlineSymbols="0" topLeftCell="C3" zoomScaleNormal="100" workbookViewId="0">
      <pane xSplit="6" ySplit="4" topLeftCell="I7" activePane="bottomRight" state="frozen"/>
      <selection activeCell="C3" sqref="C3"/>
      <selection pane="topRight" activeCell="I3" sqref="I3"/>
      <selection pane="bottomLeft" activeCell="C7" sqref="C7"/>
      <selection pane="bottomRight" activeCell="C5" sqref="C5"/>
    </sheetView>
  </sheetViews>
  <sheetFormatPr defaultColWidth="9.1796875" defaultRowHeight="14.5" x14ac:dyDescent="0.35"/>
  <cols>
    <col min="1" max="2" width="9.1796875" style="5" hidden="1" customWidth="1"/>
    <col min="3" max="5" width="2.7265625" style="5" customWidth="1"/>
    <col min="6" max="6" width="56.7265625" style="5" customWidth="1"/>
    <col min="7" max="7" width="1.26953125" style="5" customWidth="1"/>
    <col min="8" max="8" width="9.1796875" style="5" hidden="1" customWidth="1"/>
    <col min="9" max="17" width="12.7265625" style="5" customWidth="1"/>
    <col min="18" max="18" width="0.54296875" style="5" customWidth="1"/>
    <col min="19" max="16384" width="9.1796875" style="5"/>
  </cols>
  <sheetData>
    <row r="1" spans="1:18" ht="15" hidden="1" customHeight="1" x14ac:dyDescent="0.35">
      <c r="A1" s="911" t="s">
        <v>1946</v>
      </c>
      <c r="B1" s="911"/>
      <c r="C1" s="434" t="s">
        <v>1947</v>
      </c>
      <c r="D1" s="235"/>
      <c r="E1" s="235"/>
      <c r="F1" s="235"/>
      <c r="G1" s="235"/>
      <c r="H1" s="235">
        <v>0</v>
      </c>
      <c r="I1" s="235">
        <v>1</v>
      </c>
      <c r="J1" s="235">
        <v>2</v>
      </c>
      <c r="K1" s="235">
        <v>3</v>
      </c>
      <c r="L1" s="235">
        <v>4</v>
      </c>
      <c r="M1" s="235">
        <v>5</v>
      </c>
      <c r="N1" s="235">
        <v>6</v>
      </c>
      <c r="O1" s="235">
        <v>7</v>
      </c>
      <c r="P1" s="235">
        <v>8</v>
      </c>
      <c r="Q1" s="235">
        <v>9</v>
      </c>
      <c r="R1" s="912">
        <v>-99</v>
      </c>
    </row>
    <row r="2" spans="1:18" ht="15.5" hidden="1" x14ac:dyDescent="0.35">
      <c r="A2" s="911"/>
      <c r="B2" s="911"/>
      <c r="C2" s="913"/>
      <c r="D2" s="913"/>
      <c r="E2" s="282"/>
      <c r="F2" s="282"/>
      <c r="G2" s="282"/>
      <c r="H2" s="914" t="s">
        <v>6383</v>
      </c>
      <c r="I2" s="914" t="s">
        <v>6383</v>
      </c>
      <c r="J2" s="914" t="s">
        <v>6385</v>
      </c>
      <c r="K2" s="914" t="s">
        <v>6387</v>
      </c>
      <c r="L2" s="914" t="s">
        <v>6218</v>
      </c>
      <c r="M2" s="914" t="s">
        <v>6220</v>
      </c>
      <c r="N2" s="914" t="s">
        <v>6222</v>
      </c>
      <c r="O2" s="914" t="s">
        <v>6224</v>
      </c>
      <c r="P2" s="914" t="s">
        <v>6389</v>
      </c>
      <c r="Q2" s="914" t="s">
        <v>6391</v>
      </c>
      <c r="R2" s="282"/>
    </row>
    <row r="3" spans="1:18" ht="6" customHeight="1" x14ac:dyDescent="0.35">
      <c r="A3" s="915"/>
      <c r="B3" s="915"/>
      <c r="C3" s="916"/>
      <c r="D3" s="917"/>
      <c r="E3" s="917"/>
      <c r="F3" s="917"/>
      <c r="G3" s="917"/>
      <c r="H3" s="917"/>
      <c r="I3" s="917"/>
      <c r="J3" s="917"/>
      <c r="K3" s="917"/>
      <c r="L3" s="917"/>
      <c r="M3" s="917"/>
      <c r="N3" s="917"/>
      <c r="O3" s="917"/>
      <c r="P3" s="917"/>
      <c r="Q3" s="916"/>
      <c r="R3" s="916"/>
    </row>
    <row r="4" spans="1:18" ht="14.15" customHeight="1" x14ac:dyDescent="0.35">
      <c r="A4" s="915" t="s">
        <v>147</v>
      </c>
      <c r="B4" s="915"/>
      <c r="C4" s="916"/>
      <c r="D4" s="918" t="s">
        <v>1948</v>
      </c>
      <c r="E4" s="917"/>
      <c r="F4" s="917"/>
      <c r="G4" s="917"/>
      <c r="H4" s="917"/>
      <c r="I4" s="917"/>
      <c r="J4" s="917"/>
      <c r="K4" s="917"/>
      <c r="L4" s="917"/>
      <c r="M4" s="917"/>
      <c r="N4" s="917"/>
      <c r="O4" s="917"/>
      <c r="P4" s="917"/>
      <c r="Q4" s="916"/>
      <c r="R4" s="916"/>
    </row>
    <row r="5" spans="1:18" ht="20.149999999999999" customHeight="1" x14ac:dyDescent="0.35">
      <c r="A5" s="911" t="s">
        <v>167</v>
      </c>
      <c r="B5" s="911"/>
      <c r="C5" s="919" t="str">
        <f>""&amp;Investment</f>
        <v>Alpha Machine 37</v>
      </c>
      <c r="D5" s="282"/>
      <c r="E5" s="282"/>
      <c r="F5" s="282"/>
      <c r="G5" s="920" t="str">
        <f>IF(AND(SUM(Figures)&lt;&gt;0,SUM(Figures)&lt;&gt;1),SUM(Figures),"")&amp;IF(Currency&lt;&gt;""," "&amp;Currency,"")</f>
        <v xml:space="preserve"> Euro</v>
      </c>
      <c r="H5" s="252"/>
      <c r="I5" s="252"/>
      <c r="J5" s="252"/>
      <c r="K5" s="252"/>
      <c r="L5" s="252"/>
      <c r="M5" s="252"/>
      <c r="N5" s="252"/>
      <c r="O5" s="252"/>
      <c r="P5" s="252"/>
      <c r="Q5" s="286"/>
      <c r="R5" s="286"/>
    </row>
    <row r="6" spans="1:18" ht="18" customHeight="1" x14ac:dyDescent="0.4">
      <c r="A6" s="921" t="s">
        <v>171</v>
      </c>
      <c r="B6" s="921"/>
      <c r="C6" s="922" t="s">
        <v>806</v>
      </c>
      <c r="D6" s="923"/>
      <c r="E6" s="923"/>
      <c r="F6" s="923"/>
      <c r="G6" s="924"/>
      <c r="H6" s="924" t="str">
        <f>""&amp;OFFSET(Calculations!$G$16,0,H$1)</f>
        <v>9/2017</v>
      </c>
      <c r="I6" s="924" t="str">
        <f>""&amp;OFFSET(Calculations!$G$16,0,I$1)</f>
        <v>9/2017</v>
      </c>
      <c r="J6" s="924" t="str">
        <f>""&amp;OFFSET(Calculations!$G$16,0,J$1)</f>
        <v>10/2017</v>
      </c>
      <c r="K6" s="924" t="str">
        <f>""&amp;OFFSET(Calculations!$G$16,0,K$1)</f>
        <v>11/2017</v>
      </c>
      <c r="L6" s="924" t="str">
        <f>""&amp;OFFSET(Calculations!$G$16,0,L$1)</f>
        <v>12/2017</v>
      </c>
      <c r="M6" s="924" t="str">
        <f>""&amp;OFFSET(Calculations!$G$16,0,M$1)</f>
        <v>12/2018</v>
      </c>
      <c r="N6" s="924" t="str">
        <f>""&amp;OFFSET(Calculations!$G$16,0,N$1)</f>
        <v>12/2019</v>
      </c>
      <c r="O6" s="924" t="str">
        <f>""&amp;OFFSET(Calculations!$G$16,0,O$1)</f>
        <v>12/2020</v>
      </c>
      <c r="P6" s="924" t="str">
        <f>""&amp;OFFSET(Calculations!$G$16,0,P$1)</f>
        <v>12/2021</v>
      </c>
      <c r="Q6" s="924" t="str">
        <f>""&amp;OFFSET(Calculations!$G$16,0,Q$1)</f>
        <v>12/2022</v>
      </c>
      <c r="R6" s="925"/>
    </row>
    <row r="7" spans="1:18" ht="6" customHeight="1" x14ac:dyDescent="0.35">
      <c r="A7" s="911" t="s">
        <v>188</v>
      </c>
      <c r="B7" s="911"/>
      <c r="C7" s="911"/>
      <c r="D7" s="282"/>
      <c r="E7" s="282"/>
      <c r="F7" s="282"/>
      <c r="G7" s="282"/>
      <c r="H7" s="282"/>
      <c r="I7" s="282"/>
      <c r="J7" s="282"/>
      <c r="K7" s="282"/>
      <c r="L7" s="282"/>
      <c r="M7" s="282"/>
      <c r="N7" s="282"/>
      <c r="O7" s="282"/>
      <c r="P7" s="282"/>
      <c r="Q7" s="282"/>
      <c r="R7" s="282"/>
    </row>
    <row r="8" spans="1:18" ht="12.75" customHeight="1" x14ac:dyDescent="0.35">
      <c r="A8" s="921" t="s">
        <v>205</v>
      </c>
      <c r="B8" s="921"/>
      <c r="C8" s="921" t="s">
        <v>1949</v>
      </c>
      <c r="D8" s="282"/>
      <c r="E8" s="282"/>
      <c r="F8" s="282"/>
      <c r="G8" s="282"/>
      <c r="H8" s="282"/>
      <c r="I8" s="282"/>
      <c r="J8" s="282"/>
      <c r="K8" s="282"/>
      <c r="L8" s="282"/>
      <c r="M8" s="282"/>
      <c r="N8" s="282"/>
      <c r="O8" s="282"/>
      <c r="P8" s="282"/>
      <c r="Q8" s="282"/>
      <c r="R8" s="282"/>
    </row>
    <row r="9" spans="1:18" ht="12.75" customHeight="1" x14ac:dyDescent="0.35">
      <c r="A9" s="911" t="s">
        <v>209</v>
      </c>
      <c r="B9" s="911"/>
      <c r="C9" s="911" t="s">
        <v>1950</v>
      </c>
      <c r="D9" s="282"/>
      <c r="E9" s="282"/>
      <c r="F9" s="282"/>
      <c r="G9" s="282"/>
      <c r="H9" s="926">
        <v>0</v>
      </c>
      <c r="I9" s="926">
        <f>IF(IFRSCumulative,IF(RIGHT(I$2,4)=RIGHT(OFFSET(I$2,0,-1),4),OFFSET(I9,0,-1),0),0)+IF(Calculations!$R$443&lt;&gt;"  ",OFFSET(Calculations!$G$443,0,I$1),0)+IF(Calculations!$R$447&lt;&gt;"  ",OFFSET(Calculations!$G$447,0,I$1),0)+IF(Calculations!$R$448&lt;&gt;"  ",OFFSET(Calculations!$G$448,0,I$1),0)+IF(Calculations!$R$449&lt;&gt;"  ",OFFSET(Calculations!$G$449,0,I$1),0)+IF(Calculations!$R$450&lt;&gt;"  ",OFFSET(Calculations!$G$450,0,I$1),0)+IF(Calculations!$R$451&lt;&gt;"  ",OFFSET(Calculations!$G$451,0,I$1),0)+IF(Calculations!$R$452&lt;&gt;"  ",OFFSET(Calculations!$G$452,0,I$1),0)+IF(Calculations!$R$453&lt;&gt;"  ",OFFSET(Calculations!$G$453,0,I$1),0)+IF(Calculations!$R$454&lt;&gt;"  ",OFFSET(Calculations!$G$454,0,I$1),0)+IF(Calculations!$R$455&lt;&gt;"  ",OFFSET(Calculations!$G$455,0,I$1),0)</f>
        <v>945000</v>
      </c>
      <c r="J9" s="926">
        <f>IF(IFRSCumulative,IF(RIGHT(J$2,4)=RIGHT(OFFSET(J$2,0,-1),4),OFFSET(J9,0,-1),0),0)+IF(Calculations!$R$443&lt;&gt;"  ",OFFSET(Calculations!$G$443,0,J$1),0)+IF(Calculations!$R$447&lt;&gt;"  ",OFFSET(Calculations!$G$447,0,J$1),0)+IF(Calculations!$R$448&lt;&gt;"  ",OFFSET(Calculations!$G$448,0,J$1),0)+IF(Calculations!$R$449&lt;&gt;"  ",OFFSET(Calculations!$G$449,0,J$1),0)+IF(Calculations!$R$450&lt;&gt;"  ",OFFSET(Calculations!$G$450,0,J$1),0)+IF(Calculations!$R$451&lt;&gt;"  ",OFFSET(Calculations!$G$451,0,J$1),0)+IF(Calculations!$R$452&lt;&gt;"  ",OFFSET(Calculations!$G$452,0,J$1),0)+IF(Calculations!$R$453&lt;&gt;"  ",OFFSET(Calculations!$G$453,0,J$1),0)+IF(Calculations!$R$454&lt;&gt;"  ",OFFSET(Calculations!$G$454,0,J$1),0)+IF(Calculations!$R$455&lt;&gt;"  ",OFFSET(Calculations!$G$455,0,J$1),0)</f>
        <v>1906117.4947398147</v>
      </c>
      <c r="K9" s="926">
        <f>IF(IFRSCumulative,IF(RIGHT(K$2,4)=RIGHT(OFFSET(K$2,0,-1),4),OFFSET(K9,0,-1),0),0)+IF(Calculations!$R$443&lt;&gt;"  ",OFFSET(Calculations!$G$443,0,K$1),0)+IF(Calculations!$R$447&lt;&gt;"  ",OFFSET(Calculations!$G$447,0,K$1),0)+IF(Calculations!$R$448&lt;&gt;"  ",OFFSET(Calculations!$G$448,0,K$1),0)+IF(Calculations!$R$449&lt;&gt;"  ",OFFSET(Calculations!$G$449,0,K$1),0)+IF(Calculations!$R$450&lt;&gt;"  ",OFFSET(Calculations!$G$450,0,K$1),0)+IF(Calculations!$R$451&lt;&gt;"  ",OFFSET(Calculations!$G$451,0,K$1),0)+IF(Calculations!$R$452&lt;&gt;"  ",OFFSET(Calculations!$G$452,0,K$1),0)+IF(Calculations!$R$453&lt;&gt;"  ",OFFSET(Calculations!$G$453,0,K$1),0)+IF(Calculations!$R$454&lt;&gt;"  ",OFFSET(Calculations!$G$454,0,K$1),0)+IF(Calculations!$R$455&lt;&gt;"  ",OFFSET(Calculations!$G$455,0,K$1),0)</f>
        <v>2883627.3769566803</v>
      </c>
      <c r="L9" s="926">
        <f>IF(IFRSCumulative,IF(RIGHT(L$2,4)=RIGHT(OFFSET(L$2,0,-1),4),OFFSET(L9,0,-1),0),0)+IF(Calculations!$R$443&lt;&gt;"  ",OFFSET(Calculations!$G$443,0,L$1),0)+IF(Calculations!$R$447&lt;&gt;"  ",OFFSET(Calculations!$G$447,0,L$1),0)+IF(Calculations!$R$448&lt;&gt;"  ",OFFSET(Calculations!$G$448,0,L$1),0)+IF(Calculations!$R$449&lt;&gt;"  ",OFFSET(Calculations!$G$449,0,L$1),0)+IF(Calculations!$R$450&lt;&gt;"  ",OFFSET(Calculations!$G$450,0,L$1),0)+IF(Calculations!$R$451&lt;&gt;"  ",OFFSET(Calculations!$G$451,0,L$1),0)+IF(Calculations!$R$452&lt;&gt;"  ",OFFSET(Calculations!$G$452,0,L$1),0)+IF(Calculations!$R$453&lt;&gt;"  ",OFFSET(Calculations!$G$453,0,L$1),0)+IF(Calculations!$R$454&lt;&gt;"  ",OFFSET(Calculations!$G$454,0,L$1),0)+IF(Calculations!$R$455&lt;&gt;"  ",OFFSET(Calculations!$G$455,0,L$1),0)</f>
        <v>3877809.227834654</v>
      </c>
      <c r="M9" s="926">
        <f>IF(IFRSCumulative,IF(RIGHT(M$2,4)=RIGHT(OFFSET(M$2,0,-1),4),OFFSET(M9,0,-1),0),0)+IF(Calculations!$R$443&lt;&gt;"  ",OFFSET(Calculations!$G$443,0,M$1),0)+IF(Calculations!$R$447&lt;&gt;"  ",OFFSET(Calculations!$G$447,0,M$1),0)+IF(Calculations!$R$448&lt;&gt;"  ",OFFSET(Calculations!$G$448,0,M$1),0)+IF(Calculations!$R$449&lt;&gt;"  ",OFFSET(Calculations!$G$449,0,M$1),0)+IF(Calculations!$R$450&lt;&gt;"  ",OFFSET(Calculations!$G$450,0,M$1),0)+IF(Calculations!$R$451&lt;&gt;"  ",OFFSET(Calculations!$G$451,0,M$1),0)+IF(Calculations!$R$452&lt;&gt;"  ",OFFSET(Calculations!$G$452,0,M$1),0)+IF(Calculations!$R$453&lt;&gt;"  ",OFFSET(Calculations!$G$453,0,M$1),0)+IF(Calculations!$R$454&lt;&gt;"  ",OFFSET(Calculations!$G$454,0,M$1),0)+IF(Calculations!$R$455&lt;&gt;"  ",OFFSET(Calculations!$G$455,0,M$1),0)</f>
        <v>14614473.207906216</v>
      </c>
      <c r="N9" s="926">
        <f>IF(IFRSCumulative,IF(RIGHT(N$2,4)=RIGHT(OFFSET(N$2,0,-1),4),OFFSET(N9,0,-1),0),0)+IF(Calculations!$R$443&lt;&gt;"  ",OFFSET(Calculations!$G$443,0,N$1),0)+IF(Calculations!$R$447&lt;&gt;"  ",OFFSET(Calculations!$G$447,0,N$1),0)+IF(Calculations!$R$448&lt;&gt;"  ",OFFSET(Calculations!$G$448,0,N$1),0)+IF(Calculations!$R$449&lt;&gt;"  ",OFFSET(Calculations!$G$449,0,N$1),0)+IF(Calculations!$R$450&lt;&gt;"  ",OFFSET(Calculations!$G$450,0,N$1),0)+IF(Calculations!$R$451&lt;&gt;"  ",OFFSET(Calculations!$G$451,0,N$1),0)+IF(Calculations!$R$452&lt;&gt;"  ",OFFSET(Calculations!$G$452,0,N$1),0)+IF(Calculations!$R$453&lt;&gt;"  ",OFFSET(Calculations!$G$453,0,N$1),0)+IF(Calculations!$R$454&lt;&gt;"  ",OFFSET(Calculations!$G$454,0,N$1),0)+IF(Calculations!$R$455&lt;&gt;"  ",OFFSET(Calculations!$G$455,0,N$1),0)</f>
        <v>17902729.679685112</v>
      </c>
      <c r="O9" s="926">
        <f>IF(IFRSCumulative,IF(RIGHT(O$2,4)=RIGHT(OFFSET(O$2,0,-1),4),OFFSET(O9,0,-1),0),0)+IF(Calculations!$R$443&lt;&gt;"  ",OFFSET(Calculations!$G$443,0,O$1),0)+IF(Calculations!$R$447&lt;&gt;"  ",OFFSET(Calculations!$G$447,0,O$1),0)+IF(Calculations!$R$448&lt;&gt;"  ",OFFSET(Calculations!$G$448,0,O$1),0)+IF(Calculations!$R$449&lt;&gt;"  ",OFFSET(Calculations!$G$449,0,O$1),0)+IF(Calculations!$R$450&lt;&gt;"  ",OFFSET(Calculations!$G$450,0,O$1),0)+IF(Calculations!$R$451&lt;&gt;"  ",OFFSET(Calculations!$G$451,0,O$1),0)+IF(Calculations!$R$452&lt;&gt;"  ",OFFSET(Calculations!$G$452,0,O$1),0)+IF(Calculations!$R$453&lt;&gt;"  ",OFFSET(Calculations!$G$453,0,O$1),0)+IF(Calculations!$R$454&lt;&gt;"  ",OFFSET(Calculations!$G$454,0,O$1),0)+IF(Calculations!$R$455&lt;&gt;"  ",OFFSET(Calculations!$G$455,0,O$1),0)</f>
        <v>21930843.857614264</v>
      </c>
      <c r="P9" s="926">
        <f>IF(IFRSCumulative,IF(RIGHT(P$2,4)=RIGHT(OFFSET(P$2,0,-1),4),OFFSET(P9,0,-1),0),0)+IF(Calculations!$R$443&lt;&gt;"  ",OFFSET(Calculations!$G$443,0,P$1),0)+IF(Calculations!$R$447&lt;&gt;"  ",OFFSET(Calculations!$G$447,0,P$1),0)+IF(Calculations!$R$448&lt;&gt;"  ",OFFSET(Calculations!$G$448,0,P$1),0)+IF(Calculations!$R$449&lt;&gt;"  ",OFFSET(Calculations!$G$449,0,P$1),0)+IF(Calculations!$R$450&lt;&gt;"  ",OFFSET(Calculations!$G$450,0,P$1),0)+IF(Calculations!$R$451&lt;&gt;"  ",OFFSET(Calculations!$G$451,0,P$1),0)+IF(Calculations!$R$452&lt;&gt;"  ",OFFSET(Calculations!$G$452,0,P$1),0)+IF(Calculations!$R$453&lt;&gt;"  ",OFFSET(Calculations!$G$453,0,P$1),0)+IF(Calculations!$R$454&lt;&gt;"  ",OFFSET(Calculations!$G$454,0,P$1),0)+IF(Calculations!$R$455&lt;&gt;"  ",OFFSET(Calculations!$G$455,0,P$1),0)</f>
        <v>26865283.72557747</v>
      </c>
      <c r="Q9" s="926">
        <f>IF(IFRSCumulative,IF(RIGHT(Q$2,4)=RIGHT(OFFSET(Q$2,0,-1),4),OFFSET(Q9,0,-1),0),0)+IF(Calculations!$R$443&lt;&gt;"  ",OFFSET(Calculations!$G$443,0,Q$1),0)+IF(Calculations!$R$447&lt;&gt;"  ",OFFSET(Calculations!$G$447,0,Q$1),0)+IF(Calculations!$R$448&lt;&gt;"  ",OFFSET(Calculations!$G$448,0,Q$1),0)+IF(Calculations!$R$449&lt;&gt;"  ",OFFSET(Calculations!$G$449,0,Q$1),0)+IF(Calculations!$R$450&lt;&gt;"  ",OFFSET(Calculations!$G$450,0,Q$1),0)+IF(Calculations!$R$451&lt;&gt;"  ",OFFSET(Calculations!$G$451,0,Q$1),0)+IF(Calculations!$R$452&lt;&gt;"  ",OFFSET(Calculations!$G$452,0,Q$1),0)+IF(Calculations!$R$453&lt;&gt;"  ",OFFSET(Calculations!$G$453,0,Q$1),0)+IF(Calculations!$R$454&lt;&gt;"  ",OFFSET(Calculations!$G$454,0,Q$1),0)+IF(Calculations!$R$455&lt;&gt;"  ",OFFSET(Calculations!$G$455,0,Q$1),0)</f>
        <v>32909972.563832402</v>
      </c>
      <c r="R9" s="282"/>
    </row>
    <row r="10" spans="1:18" ht="12.75" customHeight="1" x14ac:dyDescent="0.35">
      <c r="A10" s="921" t="s">
        <v>226</v>
      </c>
      <c r="B10" s="921"/>
      <c r="C10" s="911" t="s">
        <v>1951</v>
      </c>
      <c r="D10" s="282"/>
      <c r="E10" s="282"/>
      <c r="F10" s="282"/>
      <c r="G10" s="282"/>
      <c r="H10" s="926">
        <f>Calculations!$G$913+Calculations!$G$923+IF(Calculations!$R$503&lt;&gt;"  ",MAX(0,OFFSET(Calculations!$A$503,0,Calculations!$D$7-1+H$1)),0)</f>
        <v>0</v>
      </c>
      <c r="I10" s="926">
        <f>IF(IFRSCumulative,IF(RIGHT(I$2,4)=RIGHT(OFFSET(I$2,0,-1),4),OFFSET(I10,0,-1),0),0)+IF(Calculations!$R$458&lt;&gt;"  ",OFFSET(Calculations!$G$458,0,I$1),0)+OFFSET(Calculations!$G$913,0,I$1)+OFFSET(Calculations!$G$923,0,I$1)+IF(Calculations!$R$503&lt;&gt;"  ",MAX(0,OFFSET(Calculations!$A$503,0,Calculations!$D$7-1+I$1)),0)</f>
        <v>0</v>
      </c>
      <c r="J10" s="926">
        <f>IF(IFRSCumulative,IF(RIGHT(J$2,4)=RIGHT(OFFSET(J$2,0,-1),4),OFFSET(J10,0,-1),0),0)+IF(Calculations!$R$458&lt;&gt;"  ",OFFSET(Calculations!$G$458,0,J$1),0)+OFFSET(Calculations!$G$913,0,J$1)+OFFSET(Calculations!$G$923,0,J$1)+IF(Calculations!$R$503&lt;&gt;"  ",MAX(0,OFFSET(Calculations!$A$503,0,Calculations!$D$7-1+J$1)),0)</f>
        <v>0</v>
      </c>
      <c r="K10" s="926">
        <f>IF(IFRSCumulative,IF(RIGHT(K$2,4)=RIGHT(OFFSET(K$2,0,-1),4),OFFSET(K10,0,-1),0),0)+IF(Calculations!$R$458&lt;&gt;"  ",OFFSET(Calculations!$G$458,0,K$1),0)+OFFSET(Calculations!$G$913,0,K$1)+OFFSET(Calculations!$G$923,0,K$1)+IF(Calculations!$R$503&lt;&gt;"  ",MAX(0,OFFSET(Calculations!$A$503,0,Calculations!$D$7-1+K$1)),0)</f>
        <v>0</v>
      </c>
      <c r="L10" s="926">
        <f>IF(IFRSCumulative,IF(RIGHT(L$2,4)=RIGHT(OFFSET(L$2,0,-1),4),OFFSET(L10,0,-1),0),0)+IF(Calculations!$R$458&lt;&gt;"  ",OFFSET(Calculations!$G$458,0,L$1),0)+OFFSET(Calculations!$G$913,0,L$1)+OFFSET(Calculations!$G$923,0,L$1)+IF(Calculations!$R$503&lt;&gt;"  ",MAX(0,OFFSET(Calculations!$A$503,0,Calculations!$D$7-1+L$1)),0)</f>
        <v>0</v>
      </c>
      <c r="M10" s="926">
        <f>IF(IFRSCumulative,IF(RIGHT(M$2,4)=RIGHT(OFFSET(M$2,0,-1),4),OFFSET(M10,0,-1),0),0)+IF(Calculations!$R$458&lt;&gt;"  ",OFFSET(Calculations!$G$458,0,M$1),0)+OFFSET(Calculations!$G$913,0,M$1)+OFFSET(Calculations!$G$923,0,M$1)+IF(Calculations!$R$503&lt;&gt;"  ",MAX(0,OFFSET(Calculations!$A$503,0,Calculations!$D$7-1+M$1)),0)</f>
        <v>0</v>
      </c>
      <c r="N10" s="926">
        <f>IF(IFRSCumulative,IF(RIGHT(N$2,4)=RIGHT(OFFSET(N$2,0,-1),4),OFFSET(N10,0,-1),0),0)+IF(Calculations!$R$458&lt;&gt;"  ",OFFSET(Calculations!$G$458,0,N$1),0)+OFFSET(Calculations!$G$913,0,N$1)+OFFSET(Calculations!$G$923,0,N$1)+IF(Calculations!$R$503&lt;&gt;"  ",MAX(0,OFFSET(Calculations!$A$503,0,Calculations!$D$7-1+N$1)),0)</f>
        <v>0</v>
      </c>
      <c r="O10" s="926">
        <f>IF(IFRSCumulative,IF(RIGHT(O$2,4)=RIGHT(OFFSET(O$2,0,-1),4),OFFSET(O10,0,-1),0),0)+IF(Calculations!$R$458&lt;&gt;"  ",OFFSET(Calculations!$G$458,0,O$1),0)+OFFSET(Calculations!$G$913,0,O$1)+OFFSET(Calculations!$G$923,0,O$1)+IF(Calculations!$R$503&lt;&gt;"  ",MAX(0,OFFSET(Calculations!$A$503,0,Calculations!$D$7-1+O$1)),0)</f>
        <v>0</v>
      </c>
      <c r="P10" s="926">
        <f>IF(IFRSCumulative,IF(RIGHT(P$2,4)=RIGHT(OFFSET(P$2,0,-1),4),OFFSET(P10,0,-1),0),0)+IF(Calculations!$R$458&lt;&gt;"  ",OFFSET(Calculations!$G$458,0,P$1),0)+OFFSET(Calculations!$G$913,0,P$1)+OFFSET(Calculations!$G$923,0,P$1)+IF(Calculations!$R$503&lt;&gt;"  ",MAX(0,OFFSET(Calculations!$A$503,0,Calculations!$D$7-1+P$1)),0)</f>
        <v>0</v>
      </c>
      <c r="Q10" s="926">
        <f>IF(IFRSCumulative,IF(RIGHT(Q$2,4)=RIGHT(OFFSET(Q$2,0,-1),4),OFFSET(Q10,0,-1),0),0)+IF(Calculations!$R$458&lt;&gt;"  ",OFFSET(Calculations!$G$458,0,Q$1),0)+OFFSET(Calculations!$G$913,0,Q$1)+OFFSET(Calculations!$G$923,0,Q$1)+IF(Calculations!$R$503&lt;&gt;"  ",MAX(0,OFFSET(Calculations!$A$503,0,Calculations!$D$7-1+Q$1)),0)</f>
        <v>0</v>
      </c>
      <c r="R10" s="282"/>
    </row>
    <row r="11" spans="1:18" ht="12.75" customHeight="1" x14ac:dyDescent="0.35">
      <c r="A11" s="911" t="s">
        <v>245</v>
      </c>
      <c r="B11" s="911"/>
      <c r="C11" s="911" t="s">
        <v>1952</v>
      </c>
      <c r="D11" s="282"/>
      <c r="E11" s="282"/>
      <c r="F11" s="282"/>
      <c r="G11" s="282"/>
      <c r="H11" s="926">
        <v>0</v>
      </c>
      <c r="I11" s="926">
        <f>IF(IFRSCumulative,IF(RIGHT(I$2,4)=RIGHT(OFFSET(I$2,0,-1),4),OFFSET(I11,0,-1),0),0)+IF(MID(Calculations!$S$460,7,1)&lt;&gt;"D",OFFSET(Calculations!$G$460,0,I$1),0)</f>
        <v>-661500</v>
      </c>
      <c r="J11" s="926">
        <f>IF(IFRSCumulative,IF(RIGHT(J$2,4)=RIGHT(OFFSET(J$2,0,-1),4),OFFSET(J11,0,-1),0),0)+IF(MID(Calculations!$S$460,7,1)&lt;&gt;"D",OFFSET(Calculations!$G$460,0,J$1),0)</f>
        <v>-1334282.2463178704</v>
      </c>
      <c r="K11" s="926">
        <f>IF(IFRSCumulative,IF(RIGHT(K$2,4)=RIGHT(OFFSET(K$2,0,-1),4),OFFSET(K11,0,-1),0),0)+IF(MID(Calculations!$S$460,7,1)&lt;&gt;"D",OFFSET(Calculations!$G$460,0,K$1),0)</f>
        <v>-2018539.1638696764</v>
      </c>
      <c r="L11" s="926">
        <f>IF(IFRSCumulative,IF(RIGHT(L$2,4)=RIGHT(OFFSET(L$2,0,-1),4),OFFSET(L11,0,-1),0),0)+IF(MID(Calculations!$S$460,7,1)&lt;&gt;"D",OFFSET(Calculations!$G$460,0,L$1),0)</f>
        <v>-2714466.4594842582</v>
      </c>
      <c r="M11" s="926">
        <f>IF(IFRSCumulative,IF(RIGHT(M$2,4)=RIGHT(OFFSET(M$2,0,-1),4),OFFSET(M11,0,-1),0),0)+IF(MID(Calculations!$S$460,7,1)&lt;&gt;"D",OFFSET(Calculations!$G$460,0,M$1),0)</f>
        <v>-10230131.245534351</v>
      </c>
      <c r="N11" s="926">
        <f>IF(IFRSCumulative,IF(RIGHT(N$2,4)=RIGHT(OFFSET(N$2,0,-1),4),OFFSET(N11,0,-1),0),0)+IF(MID(Calculations!$S$460,7,1)&lt;&gt;"D",OFFSET(Calculations!$G$460,0,N$1),0)</f>
        <v>-12531910.775779577</v>
      </c>
      <c r="O11" s="926">
        <f>IF(IFRSCumulative,IF(RIGHT(O$2,4)=RIGHT(OFFSET(O$2,0,-1),4),OFFSET(O11,0,-1),0),0)+IF(MID(Calculations!$S$460,7,1)&lt;&gt;"D",OFFSET(Calculations!$G$460,0,O$1),0)</f>
        <v>-15351590.700329984</v>
      </c>
      <c r="P11" s="926">
        <f>IF(IFRSCumulative,IF(RIGHT(P$2,4)=RIGHT(OFFSET(P$2,0,-1),4),OFFSET(P11,0,-1),0),0)+IF(MID(Calculations!$S$460,7,1)&lt;&gt;"D",OFFSET(Calculations!$G$460,0,P$1),0)</f>
        <v>-18805698.607904229</v>
      </c>
      <c r="Q11" s="926">
        <f>IF(IFRSCumulative,IF(RIGHT(Q$2,4)=RIGHT(OFFSET(Q$2,0,-1),4),OFFSET(Q11,0,-1),0),0)+IF(MID(Calculations!$S$460,7,1)&lt;&gt;"D",OFFSET(Calculations!$G$460,0,Q$1),0)</f>
        <v>-23036980.794682682</v>
      </c>
      <c r="R11" s="282"/>
    </row>
    <row r="12" spans="1:18" ht="12.75" customHeight="1" x14ac:dyDescent="0.35">
      <c r="A12" s="921" t="s">
        <v>249</v>
      </c>
      <c r="B12" s="921"/>
      <c r="C12" s="911" t="s">
        <v>1953</v>
      </c>
      <c r="D12" s="282"/>
      <c r="E12" s="282"/>
      <c r="F12" s="282"/>
      <c r="G12" s="282"/>
      <c r="H12" s="926">
        <v>0</v>
      </c>
      <c r="I12" s="926">
        <f>IF(IFRSCumulative,IF(RIGHT(I$2,4)=RIGHT(OFFSET(I$2,0,-1),4),OFFSET(I12,0,-1),0),0)+OFFSET(Calculations!$G$464,0,I$1)+OFFSET(Calculations!$G$476,0,I$1)</f>
        <v>0</v>
      </c>
      <c r="J12" s="926">
        <f>IF(IFRSCumulative,IF(RIGHT(J$2,4)=RIGHT(OFFSET(J$2,0,-1),4),OFFSET(J12,0,-1),0),0)+OFFSET(Calculations!$G$464,0,J$1)+OFFSET(Calculations!$G$476,0,J$1)</f>
        <v>0</v>
      </c>
      <c r="K12" s="926">
        <f>IF(IFRSCumulative,IF(RIGHT(K$2,4)=RIGHT(OFFSET(K$2,0,-1),4),OFFSET(K12,0,-1),0),0)+OFFSET(Calculations!$G$464,0,K$1)+OFFSET(Calculations!$G$476,0,K$1)</f>
        <v>0</v>
      </c>
      <c r="L12" s="926">
        <f>IF(IFRSCumulative,IF(RIGHT(L$2,4)=RIGHT(OFFSET(L$2,0,-1),4),OFFSET(L12,0,-1),0),0)+OFFSET(Calculations!$G$464,0,L$1)+OFFSET(Calculations!$G$476,0,L$1)</f>
        <v>0</v>
      </c>
      <c r="M12" s="926">
        <f>IF(IFRSCumulative,IF(RIGHT(M$2,4)=RIGHT(OFFSET(M$2,0,-1),4),OFFSET(M12,0,-1),0),0)+OFFSET(Calculations!$G$464,0,M$1)+OFFSET(Calculations!$G$476,0,M$1)</f>
        <v>0</v>
      </c>
      <c r="N12" s="926">
        <f>IF(IFRSCumulative,IF(RIGHT(N$2,4)=RIGHT(OFFSET(N$2,0,-1),4),OFFSET(N12,0,-1),0),0)+OFFSET(Calculations!$G$464,0,N$1)+OFFSET(Calculations!$G$476,0,N$1)</f>
        <v>0</v>
      </c>
      <c r="O12" s="926">
        <f>IF(IFRSCumulative,IF(RIGHT(O$2,4)=RIGHT(OFFSET(O$2,0,-1),4),OFFSET(O12,0,-1),0),0)+OFFSET(Calculations!$G$464,0,O$1)+OFFSET(Calculations!$G$476,0,O$1)</f>
        <v>0</v>
      </c>
      <c r="P12" s="926">
        <f>IF(IFRSCumulative,IF(RIGHT(P$2,4)=RIGHT(OFFSET(P$2,0,-1),4),OFFSET(P12,0,-1),0),0)+OFFSET(Calculations!$G$464,0,P$1)+OFFSET(Calculations!$G$476,0,P$1)</f>
        <v>0</v>
      </c>
      <c r="Q12" s="926">
        <f>IF(IFRSCumulative,IF(RIGHT(Q$2,4)=RIGHT(OFFSET(Q$2,0,-1),4),OFFSET(Q12,0,-1),0),0)+OFFSET(Calculations!$G$464,0,Q$1)+OFFSET(Calculations!$G$476,0,Q$1)</f>
        <v>0</v>
      </c>
      <c r="R12" s="282"/>
    </row>
    <row r="13" spans="1:18" ht="12.75" customHeight="1" x14ac:dyDescent="0.35">
      <c r="A13" s="911" t="s">
        <v>648</v>
      </c>
      <c r="B13" s="911"/>
      <c r="C13" s="911" t="s">
        <v>1954</v>
      </c>
      <c r="D13" s="282"/>
      <c r="E13" s="282"/>
      <c r="F13" s="282"/>
      <c r="G13" s="282"/>
      <c r="H13" s="926">
        <f>Calculations!$G$915+Calculations!$G$925+Calculations!$G$1023+Calculations!$G$425+Calculations!$G$1139</f>
        <v>0</v>
      </c>
      <c r="I13" s="926">
        <f>IF(IFRSCumulative,IF(RIGHT(I$2,4)=RIGHT(OFFSET(I$2,0,-1),4),OFFSET(I13,0,-1),0),0)+OFFSET(Calculations!$G$915,0,I$1)+OFFSET(Calculations!$G$925,0,I$1)+OFFSET(Calculations!$G$1023,0,I$1)+OFFSET(Calculations!$G$425,0,I$1)+OFFSET(Calculations!$G$1139,0,I$1)</f>
        <v>0</v>
      </c>
      <c r="J13" s="926">
        <f>IF(IFRSCumulative,IF(RIGHT(J$2,4)=RIGHT(OFFSET(J$2,0,-1),4),OFFSET(J13,0,-1),0),0)+OFFSET(Calculations!$G$915,0,J$1)+OFFSET(Calculations!$G$925,0,J$1)+OFFSET(Calculations!$G$1023,0,J$1)+OFFSET(Calculations!$G$425,0,J$1)+OFFSET(Calculations!$G$1139,0,J$1)</f>
        <v>0</v>
      </c>
      <c r="K13" s="926">
        <f>IF(IFRSCumulative,IF(RIGHT(K$2,4)=RIGHT(OFFSET(K$2,0,-1),4),OFFSET(K13,0,-1),0),0)+OFFSET(Calculations!$G$915,0,K$1)+OFFSET(Calculations!$G$925,0,K$1)+OFFSET(Calculations!$G$1023,0,K$1)+OFFSET(Calculations!$G$425,0,K$1)+OFFSET(Calculations!$G$1139,0,K$1)</f>
        <v>0</v>
      </c>
      <c r="L13" s="926">
        <f>IF(IFRSCumulative,IF(RIGHT(L$2,4)=RIGHT(OFFSET(L$2,0,-1),4),OFFSET(L13,0,-1),0),0)+OFFSET(Calculations!$G$915,0,L$1)+OFFSET(Calculations!$G$925,0,L$1)+OFFSET(Calculations!$G$1023,0,L$1)+OFFSET(Calculations!$G$425,0,L$1)+OFFSET(Calculations!$G$1139,0,L$1)</f>
        <v>0</v>
      </c>
      <c r="M13" s="926">
        <f>IF(IFRSCumulative,IF(RIGHT(M$2,4)=RIGHT(OFFSET(M$2,0,-1),4),OFFSET(M13,0,-1),0),0)+OFFSET(Calculations!$G$915,0,M$1)+OFFSET(Calculations!$G$925,0,M$1)+OFFSET(Calculations!$G$1023,0,M$1)+OFFSET(Calculations!$G$425,0,M$1)+OFFSET(Calculations!$G$1139,0,M$1)</f>
        <v>0</v>
      </c>
      <c r="N13" s="926">
        <f>IF(IFRSCumulative,IF(RIGHT(N$2,4)=RIGHT(OFFSET(N$2,0,-1),4),OFFSET(N13,0,-1),0),0)+OFFSET(Calculations!$G$915,0,N$1)+OFFSET(Calculations!$G$925,0,N$1)+OFFSET(Calculations!$G$1023,0,N$1)+OFFSET(Calculations!$G$425,0,N$1)+OFFSET(Calculations!$G$1139,0,N$1)</f>
        <v>0</v>
      </c>
      <c r="O13" s="926">
        <f>IF(IFRSCumulative,IF(RIGHT(O$2,4)=RIGHT(OFFSET(O$2,0,-1),4),OFFSET(O13,0,-1),0),0)+OFFSET(Calculations!$G$915,0,O$1)+OFFSET(Calculations!$G$925,0,O$1)+OFFSET(Calculations!$G$1023,0,O$1)+OFFSET(Calculations!$G$425,0,O$1)+OFFSET(Calculations!$G$1139,0,O$1)</f>
        <v>0</v>
      </c>
      <c r="P13" s="926">
        <f>IF(IFRSCumulative,IF(RIGHT(P$2,4)=RIGHT(OFFSET(P$2,0,-1),4),OFFSET(P13,0,-1),0),0)+OFFSET(Calculations!$G$915,0,P$1)+OFFSET(Calculations!$G$925,0,P$1)+OFFSET(Calculations!$G$1023,0,P$1)+OFFSET(Calculations!$G$425,0,P$1)+OFFSET(Calculations!$G$1139,0,P$1)</f>
        <v>0</v>
      </c>
      <c r="Q13" s="926">
        <f>IF(IFRSCumulative,IF(RIGHT(Q$2,4)=RIGHT(OFFSET(Q$2,0,-1),4),OFFSET(Q13,0,-1),0),0)+OFFSET(Calculations!$G$915,0,Q$1)+OFFSET(Calculations!$G$925,0,Q$1)+OFFSET(Calculations!$G$1023,0,Q$1)+OFFSET(Calculations!$G$425,0,Q$1)+OFFSET(Calculations!$G$1139,0,Q$1)</f>
        <v>0</v>
      </c>
      <c r="R13" s="282"/>
    </row>
    <row r="14" spans="1:18" ht="12.75" customHeight="1" x14ac:dyDescent="0.35">
      <c r="A14" s="921" t="s">
        <v>651</v>
      </c>
      <c r="B14" s="921"/>
      <c r="C14" s="911" t="s">
        <v>1955</v>
      </c>
      <c r="D14" s="282"/>
      <c r="E14" s="282"/>
      <c r="F14" s="282"/>
      <c r="G14" s="282"/>
      <c r="H14" s="926">
        <f>Calculations!$G$1141</f>
        <v>0</v>
      </c>
      <c r="I14" s="926">
        <f>IF(IFRSCumulative,IF(RIGHT(I$2,4)=RIGHT(OFFSET(I$2,0,-1),4),OFFSET(I14,0,-1),0),0)+OFFSET(Calculations!$G$1141,0,I$1)</f>
        <v>-200000</v>
      </c>
      <c r="J14" s="926">
        <f>IF(IFRSCumulative,IF(RIGHT(J$2,4)=RIGHT(OFFSET(J$2,0,-1),4),OFFSET(J14,0,-1),0),0)+OFFSET(Calculations!$G$1141,0,J$1)</f>
        <v>-400000</v>
      </c>
      <c r="K14" s="926">
        <f>IF(IFRSCumulative,IF(RIGHT(K$2,4)=RIGHT(OFFSET(K$2,0,-1),4),OFFSET(K14,0,-1),0),0)+OFFSET(Calculations!$G$1141,0,K$1)</f>
        <v>-600000</v>
      </c>
      <c r="L14" s="926">
        <f>IF(IFRSCumulative,IF(RIGHT(L$2,4)=RIGHT(OFFSET(L$2,0,-1),4),OFFSET(L14,0,-1),0),0)+OFFSET(Calculations!$G$1141,0,L$1)</f>
        <v>-800000</v>
      </c>
      <c r="M14" s="926">
        <f>IF(IFRSCumulative,IF(RIGHT(M$2,4)=RIGHT(OFFSET(M$2,0,-1),4),OFFSET(M14,0,-1),0),0)+OFFSET(Calculations!$G$1141,0,M$1)</f>
        <v>-2400000</v>
      </c>
      <c r="N14" s="926">
        <f>IF(IFRSCumulative,IF(RIGHT(N$2,4)=RIGHT(OFFSET(N$2,0,-1),4),OFFSET(N14,0,-1),0),0)+OFFSET(Calculations!$G$1141,0,N$1)</f>
        <v>-2400000</v>
      </c>
      <c r="O14" s="926">
        <f>IF(IFRSCumulative,IF(RIGHT(O$2,4)=RIGHT(OFFSET(O$2,0,-1),4),OFFSET(O14,0,-1),0),0)+OFFSET(Calculations!$G$1141,0,O$1)</f>
        <v>-2400000</v>
      </c>
      <c r="P14" s="926">
        <f>IF(IFRSCumulative,IF(RIGHT(P$2,4)=RIGHT(OFFSET(P$2,0,-1),4),OFFSET(P14,0,-1),0),0)+OFFSET(Calculations!$G$1141,0,P$1)</f>
        <v>-2400000</v>
      </c>
      <c r="Q14" s="926">
        <f>IF(IFRSCumulative,IF(RIGHT(Q$2,4)=RIGHT(OFFSET(Q$2,0,-1),4),OFFSET(Q14,0,-1),0),0)+OFFSET(Calculations!$G$1141,0,Q$1)</f>
        <v>-2400000</v>
      </c>
      <c r="R14" s="282"/>
    </row>
    <row r="15" spans="1:18" ht="12.75" customHeight="1" x14ac:dyDescent="0.35">
      <c r="A15" s="911" t="s">
        <v>1956</v>
      </c>
      <c r="B15" s="911"/>
      <c r="C15" s="927" t="s">
        <v>901</v>
      </c>
      <c r="D15" s="927"/>
      <c r="E15" s="927"/>
      <c r="F15" s="927"/>
      <c r="G15" s="927"/>
      <c r="H15" s="928">
        <f t="shared" ref="H15:Q15" si="0">H9+H10+H11+H12+H13+H14</f>
        <v>0</v>
      </c>
      <c r="I15" s="928">
        <f t="shared" si="0"/>
        <v>83500</v>
      </c>
      <c r="J15" s="928">
        <f t="shared" ref="J15" si="1">J9+J10+J11+J12+J13+J14</f>
        <v>171835.24842194421</v>
      </c>
      <c r="K15" s="928">
        <f t="shared" ref="K15" si="2">K9+K10+K11+K12+K13+K14</f>
        <v>265088.21308700391</v>
      </c>
      <c r="L15" s="928">
        <f t="shared" ref="L15" si="3">L9+L10+L11+L12+L13+L14</f>
        <v>363342.76835039584</v>
      </c>
      <c r="M15" s="928">
        <f t="shared" ref="M15" si="4">M9+M10+M11+M12+M13+M14</f>
        <v>1984341.9623718653</v>
      </c>
      <c r="N15" s="928">
        <f t="shared" si="0"/>
        <v>2970818.9039055351</v>
      </c>
      <c r="O15" s="928">
        <f t="shared" si="0"/>
        <v>4179253.1572842803</v>
      </c>
      <c r="P15" s="928">
        <f t="shared" si="0"/>
        <v>5659585.1176732406</v>
      </c>
      <c r="Q15" s="928">
        <f t="shared" si="0"/>
        <v>7472991.7691497207</v>
      </c>
      <c r="R15" s="925"/>
    </row>
    <row r="16" spans="1:18" hidden="1" x14ac:dyDescent="0.35">
      <c r="A16" s="921" t="s">
        <v>1957</v>
      </c>
      <c r="B16" s="921"/>
      <c r="C16" s="929" t="str">
        <f>C15&amp;", %"</f>
        <v>Operating profit, %</v>
      </c>
      <c r="D16" s="929"/>
      <c r="E16" s="929"/>
      <c r="F16" s="929"/>
      <c r="G16" s="929"/>
      <c r="H16" s="930"/>
      <c r="I16" s="931">
        <f t="shared" ref="I16:Q16" si="5">IF(I$9&lt;&gt;0,I15/I$9,"")</f>
        <v>8.835978835978836E-2</v>
      </c>
      <c r="J16" s="931">
        <f t="shared" si="5"/>
        <v>9.014934750672321E-2</v>
      </c>
      <c r="K16" s="931">
        <f t="shared" si="5"/>
        <v>9.1928733651701011E-2</v>
      </c>
      <c r="L16" s="931">
        <f t="shared" si="5"/>
        <v>9.3697948249322288E-2</v>
      </c>
      <c r="M16" s="931">
        <f t="shared" si="5"/>
        <v>0.1357792329660138</v>
      </c>
      <c r="N16" s="931">
        <f t="shared" si="5"/>
        <v>0.16594223099266436</v>
      </c>
      <c r="O16" s="931">
        <f t="shared" si="5"/>
        <v>0.19056508652462398</v>
      </c>
      <c r="P16" s="931">
        <f t="shared" si="5"/>
        <v>0.21066537675479502</v>
      </c>
      <c r="Q16" s="931">
        <f t="shared" si="5"/>
        <v>0.22707377694268982</v>
      </c>
      <c r="R16" s="925"/>
    </row>
    <row r="17" spans="1:18" ht="6" hidden="1" customHeight="1" x14ac:dyDescent="0.35">
      <c r="A17" s="911" t="s">
        <v>1958</v>
      </c>
      <c r="B17" s="911"/>
      <c r="C17" s="921"/>
      <c r="D17" s="921"/>
      <c r="E17" s="921"/>
      <c r="F17" s="921"/>
      <c r="G17" s="921"/>
      <c r="H17" s="932"/>
      <c r="I17" s="932"/>
      <c r="J17" s="932"/>
      <c r="K17" s="932"/>
      <c r="L17" s="932"/>
      <c r="M17" s="932"/>
      <c r="N17" s="932"/>
      <c r="O17" s="932"/>
      <c r="P17" s="932"/>
      <c r="Q17" s="932"/>
      <c r="R17" s="925"/>
    </row>
    <row r="18" spans="1:18" ht="12.75" customHeight="1" x14ac:dyDescent="0.35">
      <c r="A18" s="921" t="s">
        <v>1442</v>
      </c>
      <c r="B18" s="921"/>
      <c r="C18" s="911" t="s">
        <v>1959</v>
      </c>
      <c r="D18" s="282"/>
      <c r="E18" s="282"/>
      <c r="F18" s="282"/>
      <c r="G18" s="282"/>
      <c r="H18" s="282">
        <f>IF(MID(Calculations!$S$487,7,1)&lt;&gt;"D",Calculations!$G$487,0)</f>
        <v>0</v>
      </c>
      <c r="I18" s="282">
        <f>IF(IFRSCumulative,IF(RIGHT(I$2,4)=RIGHT(OFFSET(I$2,0,-1),4),OFFSET(I18,0,-1),0),0)+IF(MID(Calculations!$S$487,7,1)&lt;&gt;"D",OFFSET(Calculations!$G$487,0,I$1),0)</f>
        <v>0</v>
      </c>
      <c r="J18" s="282">
        <f>IF(IFRSCumulative,IF(RIGHT(J$2,4)=RIGHT(OFFSET(J$2,0,-1),4),OFFSET(J18,0,-1),0),0)+IF(MID(Calculations!$S$487,7,1)&lt;&gt;"D",OFFSET(Calculations!$G$487,0,J$1),0)</f>
        <v>0</v>
      </c>
      <c r="K18" s="282">
        <f>IF(IFRSCumulative,IF(RIGHT(K$2,4)=RIGHT(OFFSET(K$2,0,-1),4),OFFSET(K18,0,-1),0),0)+IF(MID(Calculations!$S$487,7,1)&lt;&gt;"D",OFFSET(Calculations!$G$487,0,K$1),0)</f>
        <v>0</v>
      </c>
      <c r="L18" s="282">
        <f>IF(IFRSCumulative,IF(RIGHT(L$2,4)=RIGHT(OFFSET(L$2,0,-1),4),OFFSET(L18,0,-1),0),0)+IF(MID(Calculations!$S$487,7,1)&lt;&gt;"D",OFFSET(Calculations!$G$487,0,L$1),0)</f>
        <v>0</v>
      </c>
      <c r="M18" s="282">
        <f>IF(IFRSCumulative,IF(RIGHT(M$2,4)=RIGHT(OFFSET(M$2,0,-1),4),OFFSET(M18,0,-1),0),0)+IF(MID(Calculations!$S$487,7,1)&lt;&gt;"D",OFFSET(Calculations!$G$487,0,M$1),0)</f>
        <v>0</v>
      </c>
      <c r="N18" s="282">
        <f>IF(IFRSCumulative,IF(RIGHT(N$2,4)=RIGHT(OFFSET(N$2,0,-1),4),OFFSET(N18,0,-1),0),0)+IF(MID(Calculations!$S$487,7,1)&lt;&gt;"D",OFFSET(Calculations!$G$487,0,N$1),0)</f>
        <v>0</v>
      </c>
      <c r="O18" s="282">
        <f>IF(IFRSCumulative,IF(RIGHT(O$2,4)=RIGHT(OFFSET(O$2,0,-1),4),OFFSET(O18,0,-1),0),0)+IF(MID(Calculations!$S$487,7,1)&lt;&gt;"D",OFFSET(Calculations!$G$487,0,O$1),0)</f>
        <v>0</v>
      </c>
      <c r="P18" s="282">
        <f>IF(IFRSCumulative,IF(RIGHT(P$2,4)=RIGHT(OFFSET(P$2,0,-1),4),OFFSET(P18,0,-1),0),0)+IF(MID(Calculations!$S$487,7,1)&lt;&gt;"D",OFFSET(Calculations!$G$487,0,P$1),0)</f>
        <v>0</v>
      </c>
      <c r="Q18" s="282">
        <f>IF(IFRSCumulative,IF(RIGHT(Q$2,4)=RIGHT(OFFSET(Q$2,0,-1),4),OFFSET(Q18,0,-1),0),0)+IF(MID(Calculations!$S$487,7,1)&lt;&gt;"D",OFFSET(Calculations!$G$487,0,Q$1),0)</f>
        <v>0</v>
      </c>
      <c r="R18" s="282"/>
    </row>
    <row r="19" spans="1:18" ht="12.75" customHeight="1" x14ac:dyDescent="0.35">
      <c r="A19" s="911" t="s">
        <v>1960</v>
      </c>
      <c r="B19" s="911"/>
      <c r="C19" s="911" t="s">
        <v>1961</v>
      </c>
      <c r="D19" s="282"/>
      <c r="E19" s="282"/>
      <c r="F19" s="282"/>
      <c r="G19" s="282"/>
      <c r="H19" s="926">
        <f>IF(MID(Calculations!$S$498,7,1)&lt;&gt;"D",Calculations!$G$498,0)+IF(MID(Calculations!$S$499,7,1)&lt;&gt;"D",Calculations!$G$499,0)+IF(MID(Calculations!$S$432,7,1)&lt;&gt;"D",Calculations!$G$432,0)</f>
        <v>0</v>
      </c>
      <c r="I19" s="926">
        <f>IF(IFRSCumulative,IF(RIGHT(I$2,4)=RIGHT(OFFSET(I$2,0,-1),4),OFFSET(I19,0,-1),0),0)+IF(MID(Calculations!$S$498,7,1)&lt;&gt;"D",OFFSET(Calculations!$G$498,0,I$1),0)+IF(MID(Calculations!$S$499,7,1)&lt;&gt;"D",OFFSET(Calculations!$G$499,0,I$1),0)+IF(MID(Calculations!$S$432,7,1)&lt;&gt;"D",OFFSET(Calculations!$G$432,0,I$1),0)</f>
        <v>0</v>
      </c>
      <c r="J19" s="926">
        <f>IF(IFRSCumulative,IF(RIGHT(J$2,4)=RIGHT(OFFSET(J$2,0,-1),4),OFFSET(J19,0,-1),0),0)+IF(MID(Calculations!$S$498,7,1)&lt;&gt;"D",OFFSET(Calculations!$G$498,0,J$1),0)+IF(MID(Calculations!$S$499,7,1)&lt;&gt;"D",OFFSET(Calculations!$G$499,0,J$1),0)+IF(MID(Calculations!$S$432,7,1)&lt;&gt;"D",OFFSET(Calculations!$G$432,0,J$1),0)</f>
        <v>0</v>
      </c>
      <c r="K19" s="926">
        <f>IF(IFRSCumulative,IF(RIGHT(K$2,4)=RIGHT(OFFSET(K$2,0,-1),4),OFFSET(K19,0,-1),0),0)+IF(MID(Calculations!$S$498,7,1)&lt;&gt;"D",OFFSET(Calculations!$G$498,0,K$1),0)+IF(MID(Calculations!$S$499,7,1)&lt;&gt;"D",OFFSET(Calculations!$G$499,0,K$1),0)+IF(MID(Calculations!$S$432,7,1)&lt;&gt;"D",OFFSET(Calculations!$G$432,0,K$1),0)</f>
        <v>0</v>
      </c>
      <c r="L19" s="926">
        <f>IF(IFRSCumulative,IF(RIGHT(L$2,4)=RIGHT(OFFSET(L$2,0,-1),4),OFFSET(L19,0,-1),0),0)+IF(MID(Calculations!$S$498,7,1)&lt;&gt;"D",OFFSET(Calculations!$G$498,0,L$1),0)+IF(MID(Calculations!$S$499,7,1)&lt;&gt;"D",OFFSET(Calculations!$G$499,0,L$1),0)+IF(MID(Calculations!$S$432,7,1)&lt;&gt;"D",OFFSET(Calculations!$G$432,0,L$1),0)</f>
        <v>0</v>
      </c>
      <c r="M19" s="926">
        <f>IF(IFRSCumulative,IF(RIGHT(M$2,4)=RIGHT(OFFSET(M$2,0,-1),4),OFFSET(M19,0,-1),0),0)+IF(MID(Calculations!$S$498,7,1)&lt;&gt;"D",OFFSET(Calculations!$G$498,0,M$1),0)+IF(MID(Calculations!$S$499,7,1)&lt;&gt;"D",OFFSET(Calculations!$G$499,0,M$1),0)+IF(MID(Calculations!$S$432,7,1)&lt;&gt;"D",OFFSET(Calculations!$G$432,0,M$1),0)</f>
        <v>0</v>
      </c>
      <c r="N19" s="926">
        <f>IF(IFRSCumulative,IF(RIGHT(N$2,4)=RIGHT(OFFSET(N$2,0,-1),4),OFFSET(N19,0,-1),0),0)+IF(MID(Calculations!$S$498,7,1)&lt;&gt;"D",OFFSET(Calculations!$G$498,0,N$1),0)+IF(MID(Calculations!$S$499,7,1)&lt;&gt;"D",OFFSET(Calculations!$G$499,0,N$1),0)+IF(MID(Calculations!$S$432,7,1)&lt;&gt;"D",OFFSET(Calculations!$G$432,0,N$1),0)</f>
        <v>0</v>
      </c>
      <c r="O19" s="926">
        <f>IF(IFRSCumulative,IF(RIGHT(O$2,4)=RIGHT(OFFSET(O$2,0,-1),4),OFFSET(O19,0,-1),0),0)+IF(MID(Calculations!$S$498,7,1)&lt;&gt;"D",OFFSET(Calculations!$G$498,0,O$1),0)+IF(MID(Calculations!$S$499,7,1)&lt;&gt;"D",OFFSET(Calculations!$G$499,0,O$1),0)+IF(MID(Calculations!$S$432,7,1)&lt;&gt;"D",OFFSET(Calculations!$G$432,0,O$1),0)</f>
        <v>0</v>
      </c>
      <c r="P19" s="926">
        <f>IF(IFRSCumulative,IF(RIGHT(P$2,4)=RIGHT(OFFSET(P$2,0,-1),4),OFFSET(P19,0,-1),0),0)+IF(MID(Calculations!$S$498,7,1)&lt;&gt;"D",OFFSET(Calculations!$G$498,0,P$1),0)+IF(MID(Calculations!$S$499,7,1)&lt;&gt;"D",OFFSET(Calculations!$G$499,0,P$1),0)+IF(MID(Calculations!$S$432,7,1)&lt;&gt;"D",OFFSET(Calculations!$G$432,0,P$1),0)</f>
        <v>0</v>
      </c>
      <c r="Q19" s="926">
        <f>IF(IFRSCumulative,IF(RIGHT(Q$2,4)=RIGHT(OFFSET(Q$2,0,-1),4),OFFSET(Q19,0,-1),0),0)+IF(MID(Calculations!$S$498,7,1)&lt;&gt;"D",OFFSET(Calculations!$G$498,0,Q$1),0)+IF(MID(Calculations!$S$499,7,1)&lt;&gt;"D",OFFSET(Calculations!$G$499,0,Q$1),0)+IF(MID(Calculations!$S$432,7,1)&lt;&gt;"D",OFFSET(Calculations!$G$432,0,Q$1),0)</f>
        <v>0</v>
      </c>
      <c r="R19" s="282"/>
    </row>
    <row r="20" spans="1:18" ht="12.75" customHeight="1" x14ac:dyDescent="0.35">
      <c r="A20" s="921" t="s">
        <v>1962</v>
      </c>
      <c r="B20" s="921"/>
      <c r="C20" s="927" t="s">
        <v>1963</v>
      </c>
      <c r="D20" s="927"/>
      <c r="E20" s="927"/>
      <c r="F20" s="927"/>
      <c r="G20" s="927"/>
      <c r="H20" s="928">
        <f t="shared" ref="H20:Q20" si="6">H15+H18+H19</f>
        <v>0</v>
      </c>
      <c r="I20" s="928">
        <f t="shared" si="6"/>
        <v>83500</v>
      </c>
      <c r="J20" s="928">
        <f t="shared" ref="J20" si="7">J15+J18+J19</f>
        <v>171835.24842194421</v>
      </c>
      <c r="K20" s="928">
        <f t="shared" ref="K20" si="8">K15+K18+K19</f>
        <v>265088.21308700391</v>
      </c>
      <c r="L20" s="928">
        <f t="shared" ref="L20" si="9">L15+L18+L19</f>
        <v>363342.76835039584</v>
      </c>
      <c r="M20" s="928">
        <f t="shared" ref="M20" si="10">M15+M18+M19</f>
        <v>1984341.9623718653</v>
      </c>
      <c r="N20" s="928">
        <f t="shared" si="6"/>
        <v>2970818.9039055351</v>
      </c>
      <c r="O20" s="928">
        <f t="shared" si="6"/>
        <v>4179253.1572842803</v>
      </c>
      <c r="P20" s="928">
        <f t="shared" si="6"/>
        <v>5659585.1176732406</v>
      </c>
      <c r="Q20" s="928">
        <f t="shared" si="6"/>
        <v>7472991.7691497207</v>
      </c>
      <c r="R20" s="925"/>
    </row>
    <row r="21" spans="1:18" ht="15.5" hidden="1" x14ac:dyDescent="0.35">
      <c r="A21" s="911" t="s">
        <v>1327</v>
      </c>
      <c r="B21" s="911"/>
      <c r="C21" s="929" t="str">
        <f>C20&amp;", %"</f>
        <v>Profit before income tax, %</v>
      </c>
      <c r="D21" s="929"/>
      <c r="E21" s="929"/>
      <c r="F21" s="929"/>
      <c r="G21" s="929"/>
      <c r="H21" s="930"/>
      <c r="I21" s="931">
        <f t="shared" ref="I21:Q21" si="11">IF(I$9&lt;&gt;0,I20/I$9,"")</f>
        <v>8.835978835978836E-2</v>
      </c>
      <c r="J21" s="931">
        <f t="shared" si="11"/>
        <v>9.014934750672321E-2</v>
      </c>
      <c r="K21" s="931">
        <f t="shared" si="11"/>
        <v>9.1928733651701011E-2</v>
      </c>
      <c r="L21" s="931">
        <f t="shared" si="11"/>
        <v>9.3697948249322288E-2</v>
      </c>
      <c r="M21" s="931">
        <f t="shared" si="11"/>
        <v>0.1357792329660138</v>
      </c>
      <c r="N21" s="931">
        <f t="shared" si="11"/>
        <v>0.16594223099266436</v>
      </c>
      <c r="O21" s="931">
        <f t="shared" si="11"/>
        <v>0.19056508652462398</v>
      </c>
      <c r="P21" s="931">
        <f t="shared" si="11"/>
        <v>0.21066537675479502</v>
      </c>
      <c r="Q21" s="931">
        <f t="shared" si="11"/>
        <v>0.22707377694268982</v>
      </c>
      <c r="R21" s="925"/>
    </row>
    <row r="22" spans="1:18" ht="6" hidden="1" customHeight="1" x14ac:dyDescent="0.35">
      <c r="A22" s="921" t="s">
        <v>1342</v>
      </c>
      <c r="B22" s="921"/>
      <c r="C22" s="921"/>
      <c r="D22" s="921"/>
      <c r="E22" s="921"/>
      <c r="F22" s="921"/>
      <c r="G22" s="921"/>
      <c r="H22" s="932"/>
      <c r="I22" s="932"/>
      <c r="J22" s="932"/>
      <c r="K22" s="932"/>
      <c r="L22" s="932"/>
      <c r="M22" s="932"/>
      <c r="N22" s="932"/>
      <c r="O22" s="932"/>
      <c r="P22" s="932"/>
      <c r="Q22" s="932"/>
      <c r="R22" s="925"/>
    </row>
    <row r="23" spans="1:18" ht="12.75" customHeight="1" x14ac:dyDescent="0.35">
      <c r="A23" s="911" t="s">
        <v>681</v>
      </c>
      <c r="B23" s="911"/>
      <c r="C23" s="911" t="s">
        <v>1964</v>
      </c>
      <c r="D23" s="282"/>
      <c r="E23" s="282"/>
      <c r="F23" s="282"/>
      <c r="G23" s="282"/>
      <c r="H23" s="926">
        <f>IF(MID(Calculations!$S$508,7,1)&lt;&gt;"D",Calculations!$G$508,0)+(IF(MID(Calculations!$S$527,7,1)&lt;&gt;"D",Calculations!$G$527-Calculations!$G$508,0))</f>
        <v>0</v>
      </c>
      <c r="I23" s="926">
        <f>IF(IFRSCumulative,IF(RIGHT(I$2,4)=RIGHT(OFFSET(I$2,0,-1),4),OFFSET(I23,0,-1),0),0)+IF(MID(Calculations!$S$508,7,1)&lt;&gt;"D",OFFSET(Calculations!$G$508,0,I$1),0)+(IF(MID(Calculations!$S$527,7,1)&lt;&gt;"D",OFFSET(Calculations!$G$527,0,I$1)-OFFSET(Calculations!$G$508,0,I$1),0))</f>
        <v>0</v>
      </c>
      <c r="J23" s="926">
        <f>IF(IFRSCumulative,IF(RIGHT(J$2,4)=RIGHT(OFFSET(J$2,0,-1),4),OFFSET(J23,0,-1),0),0)+IF(MID(Calculations!$S$508,7,1)&lt;&gt;"D",OFFSET(Calculations!$G$508,0,J$1),0)+(IF(MID(Calculations!$S$527,7,1)&lt;&gt;"D",OFFSET(Calculations!$G$527,0,J$1)-OFFSET(Calculations!$G$508,0,J$1),0))</f>
        <v>0</v>
      </c>
      <c r="K23" s="926">
        <f>IF(IFRSCumulative,IF(RIGHT(K$2,4)=RIGHT(OFFSET(K$2,0,-1),4),OFFSET(K23,0,-1),0),0)+IF(MID(Calculations!$S$508,7,1)&lt;&gt;"D",OFFSET(Calculations!$G$508,0,K$1),0)+(IF(MID(Calculations!$S$527,7,1)&lt;&gt;"D",OFFSET(Calculations!$G$527,0,K$1)-OFFSET(Calculations!$G$508,0,K$1),0))</f>
        <v>0</v>
      </c>
      <c r="L23" s="926">
        <f>IF(IFRSCumulative,IF(RIGHT(L$2,4)=RIGHT(OFFSET(L$2,0,-1),4),OFFSET(L23,0,-1),0),0)+IF(MID(Calculations!$S$508,7,1)&lt;&gt;"D",OFFSET(Calculations!$G$508,0,L$1),0)+(IF(MID(Calculations!$S$527,7,1)&lt;&gt;"D",OFFSET(Calculations!$G$527,0,L$1)-OFFSET(Calculations!$G$508,0,L$1),0))</f>
        <v>-79989.30847144431</v>
      </c>
      <c r="M23" s="926">
        <f>IF(IFRSCumulative,IF(RIGHT(M$2,4)=RIGHT(OFFSET(M$2,0,-1),4),OFFSET(M23,0,-1),0),0)+IF(MID(Calculations!$S$508,7,1)&lt;&gt;"D",OFFSET(Calculations!$G$508,0,M$1),0)+(IF(MID(Calculations!$S$527,7,1)&lt;&gt;"D",OFFSET(Calculations!$G$527,0,M$1)-OFFSET(Calculations!$G$508,0,M$1),0))</f>
        <v>-470950.74946412235</v>
      </c>
      <c r="N23" s="926">
        <f>IF(IFRSCumulative,IF(RIGHT(N$2,4)=RIGHT(OFFSET(N$2,0,-1),4),OFFSET(N23,0,-1),0),0)+IF(MID(Calculations!$S$508,7,1)&lt;&gt;"D",OFFSET(Calculations!$G$508,0,N$1),0)+(IF(MID(Calculations!$S$527,7,1)&lt;&gt;"D",OFFSET(Calculations!$G$527,0,N$1)-OFFSET(Calculations!$G$508,0,N$1),0))</f>
        <v>-757270.54309355002</v>
      </c>
      <c r="O23" s="926">
        <f>IF(IFRSCumulative,IF(RIGHT(O$2,4)=RIGHT(OFFSET(O$2,0,-1),4),OFFSET(O23,0,-1),0),0)+IF(MID(Calculations!$S$508,7,1)&lt;&gt;"D",OFFSET(Calculations!$G$508,0,O$1),0)+(IF(MID(Calculations!$S$527,7,1)&lt;&gt;"D",OFFSET(Calculations!$G$527,0,O$1)-OFFSET(Calculations!$G$508,0,O$1),0))</f>
        <v>-1107936.8215395985</v>
      </c>
      <c r="P23" s="926">
        <f>IF(IFRSCumulative,IF(RIGHT(P$2,4)=RIGHT(OFFSET(P$2,0,-1),4),OFFSET(P23,0,-1),0),0)+IF(MID(Calculations!$S$508,7,1)&lt;&gt;"D",OFFSET(Calculations!$G$508,0,P$1),0)+(IF(MID(Calculations!$S$527,7,1)&lt;&gt;"D",OFFSET(Calculations!$G$527,0,P$1)-OFFSET(Calculations!$G$508,0,P$1),0))</f>
        <v>-1528508.2860735075</v>
      </c>
      <c r="Q23" s="926">
        <f>IF(IFRSCumulative,IF(RIGHT(Q$2,4)=RIGHT(OFFSET(Q$2,0,-1),4),OFFSET(Q23,0,-1),0),0)+IF(MID(Calculations!$S$508,7,1)&lt;&gt;"D",OFFSET(Calculations!$G$508,0,Q$1),0)+(IF(MID(Calculations!$S$527,7,1)&lt;&gt;"D",OFFSET(Calculations!$G$527,0,Q$1)-OFFSET(Calculations!$G$508,0,Q$1),0))</f>
        <v>-2043183.535205672</v>
      </c>
      <c r="R23" s="282"/>
    </row>
    <row r="24" spans="1:18" ht="12.75" customHeight="1" x14ac:dyDescent="0.35">
      <c r="A24" s="921" t="s">
        <v>689</v>
      </c>
      <c r="B24" s="921"/>
      <c r="C24" s="927" t="s">
        <v>1965</v>
      </c>
      <c r="D24" s="927"/>
      <c r="E24" s="927"/>
      <c r="F24" s="927"/>
      <c r="G24" s="927"/>
      <c r="H24" s="928">
        <f t="shared" ref="H24:Q24" si="12">H20+H23</f>
        <v>0</v>
      </c>
      <c r="I24" s="928">
        <f t="shared" si="12"/>
        <v>83500</v>
      </c>
      <c r="J24" s="928">
        <f t="shared" ref="J24" si="13">J20+J23</f>
        <v>171835.24842194421</v>
      </c>
      <c r="K24" s="928">
        <f t="shared" ref="K24" si="14">K20+K23</f>
        <v>265088.21308700391</v>
      </c>
      <c r="L24" s="928">
        <f t="shared" ref="L24" si="15">L20+L23</f>
        <v>283353.45987895154</v>
      </c>
      <c r="M24" s="928">
        <f t="shared" ref="M24" si="16">M20+M23</f>
        <v>1513391.2129077429</v>
      </c>
      <c r="N24" s="928">
        <f t="shared" si="12"/>
        <v>2213548.3608119851</v>
      </c>
      <c r="O24" s="928">
        <f t="shared" si="12"/>
        <v>3071316.3357446818</v>
      </c>
      <c r="P24" s="928">
        <f t="shared" si="12"/>
        <v>4131076.8315997329</v>
      </c>
      <c r="Q24" s="928">
        <f t="shared" si="12"/>
        <v>5429808.2339440491</v>
      </c>
      <c r="R24" s="925"/>
    </row>
    <row r="25" spans="1:18" ht="15.5" hidden="1" x14ac:dyDescent="0.35">
      <c r="A25" s="911" t="s">
        <v>789</v>
      </c>
      <c r="B25" s="911"/>
      <c r="C25" s="929" t="str">
        <f>C24&amp;", %"</f>
        <v>Profit for the period from continuing operations, %</v>
      </c>
      <c r="D25" s="929"/>
      <c r="E25" s="929"/>
      <c r="F25" s="929"/>
      <c r="G25" s="929"/>
      <c r="H25" s="930"/>
      <c r="I25" s="931">
        <f t="shared" ref="I25:Q25" si="17">IF(I$9&lt;&gt;0,I24/I$9,"")</f>
        <v>8.835978835978836E-2</v>
      </c>
      <c r="J25" s="931">
        <f t="shared" si="17"/>
        <v>9.014934750672321E-2</v>
      </c>
      <c r="K25" s="931">
        <f t="shared" si="17"/>
        <v>9.1928733651701011E-2</v>
      </c>
      <c r="L25" s="931">
        <f t="shared" si="17"/>
        <v>7.3070500179601275E-2</v>
      </c>
      <c r="M25" s="931">
        <f t="shared" si="17"/>
        <v>0.10355427741925179</v>
      </c>
      <c r="N25" s="931">
        <f t="shared" si="17"/>
        <v>0.12364306451679154</v>
      </c>
      <c r="O25" s="931">
        <f t="shared" si="17"/>
        <v>0.14004551560738682</v>
      </c>
      <c r="P25" s="931">
        <f t="shared" si="17"/>
        <v>0.15377008014498217</v>
      </c>
      <c r="Q25" s="931">
        <f t="shared" si="17"/>
        <v>0.16498975267792632</v>
      </c>
      <c r="R25" s="925"/>
    </row>
    <row r="26" spans="1:18" ht="6" customHeight="1" x14ac:dyDescent="0.35">
      <c r="A26" s="921" t="s">
        <v>797</v>
      </c>
      <c r="B26" s="921"/>
      <c r="C26" s="911"/>
      <c r="D26" s="282"/>
      <c r="E26" s="282"/>
      <c r="F26" s="282"/>
      <c r="G26" s="282"/>
      <c r="H26" s="282"/>
      <c r="I26" s="282"/>
      <c r="J26" s="282"/>
      <c r="K26" s="282"/>
      <c r="L26" s="282"/>
      <c r="M26" s="282"/>
      <c r="N26" s="282"/>
      <c r="O26" s="282"/>
      <c r="P26" s="282"/>
      <c r="Q26" s="282"/>
      <c r="R26" s="282"/>
    </row>
    <row r="27" spans="1:18" ht="12.75" customHeight="1" x14ac:dyDescent="0.35">
      <c r="A27" s="911" t="s">
        <v>800</v>
      </c>
      <c r="B27" s="911"/>
      <c r="C27" s="921" t="s">
        <v>1966</v>
      </c>
      <c r="D27" s="282"/>
      <c r="E27" s="282"/>
      <c r="F27" s="282"/>
      <c r="G27" s="282"/>
      <c r="H27" s="282"/>
      <c r="I27" s="282"/>
      <c r="J27" s="282"/>
      <c r="K27" s="282"/>
      <c r="L27" s="282"/>
      <c r="M27" s="282"/>
      <c r="N27" s="282"/>
      <c r="O27" s="282"/>
      <c r="P27" s="282"/>
      <c r="Q27" s="282"/>
      <c r="R27" s="282"/>
    </row>
    <row r="28" spans="1:18" ht="12.75" customHeight="1" x14ac:dyDescent="0.35">
      <c r="A28" s="921" t="s">
        <v>802</v>
      </c>
      <c r="B28" s="921"/>
      <c r="C28" s="286" t="s">
        <v>1967</v>
      </c>
      <c r="D28" s="252"/>
      <c r="E28" s="252"/>
      <c r="F28" s="252"/>
      <c r="G28" s="252"/>
      <c r="H28" s="933">
        <f>IF(AnyDisc,Calculations!$G$528-H24,0)</f>
        <v>0</v>
      </c>
      <c r="I28" s="933">
        <f>IF(AnyDisc,OFFSET(Calculations!$G$528,0,I$1)-I24,0)</f>
        <v>0</v>
      </c>
      <c r="J28" s="933">
        <f>IF(AnyDisc,OFFSET(Calculations!$G$528,0,J$1)-J24,0)</f>
        <v>0</v>
      </c>
      <c r="K28" s="933">
        <f>IF(AnyDisc,OFFSET(Calculations!$G$528,0,K$1)-K24,0)</f>
        <v>0</v>
      </c>
      <c r="L28" s="933">
        <f>IF(AnyDisc,OFFSET(Calculations!$G$528,0,L$1)-L24,0)</f>
        <v>0</v>
      </c>
      <c r="M28" s="933">
        <f>IF(AnyDisc,OFFSET(Calculations!$G$528,0,M$1)-M24,0)</f>
        <v>0</v>
      </c>
      <c r="N28" s="933">
        <f>IF(AnyDisc,OFFSET(Calculations!$G$528,0,N$1)-N24,0)</f>
        <v>0</v>
      </c>
      <c r="O28" s="933">
        <f>IF(AnyDisc,OFFSET(Calculations!$G$528,0,O$1)-O24,0)</f>
        <v>0</v>
      </c>
      <c r="P28" s="933">
        <f>IF(AnyDisc,OFFSET(Calculations!$G$528,0,P$1)-P24,0)</f>
        <v>0</v>
      </c>
      <c r="Q28" s="933">
        <f>IF(AnyDisc,OFFSET(Calculations!$G$528,0,Q$1)-Q24,0)</f>
        <v>0</v>
      </c>
      <c r="R28" s="252"/>
    </row>
    <row r="29" spans="1:18" ht="12.75" customHeight="1" x14ac:dyDescent="0.35">
      <c r="A29" s="911" t="s">
        <v>777</v>
      </c>
      <c r="B29" s="911"/>
      <c r="C29" s="927" t="s">
        <v>1968</v>
      </c>
      <c r="D29" s="927"/>
      <c r="E29" s="927"/>
      <c r="F29" s="927"/>
      <c r="G29" s="927"/>
      <c r="H29" s="928">
        <f t="shared" ref="H29:Q29" si="18">H24+H28</f>
        <v>0</v>
      </c>
      <c r="I29" s="928">
        <f t="shared" si="18"/>
        <v>83500</v>
      </c>
      <c r="J29" s="928">
        <f t="shared" ref="J29" si="19">J24+J28</f>
        <v>171835.24842194421</v>
      </c>
      <c r="K29" s="928">
        <f t="shared" ref="K29" si="20">K24+K28</f>
        <v>265088.21308700391</v>
      </c>
      <c r="L29" s="928">
        <f t="shared" ref="L29" si="21">L24+L28</f>
        <v>283353.45987895154</v>
      </c>
      <c r="M29" s="928">
        <f t="shared" ref="M29" si="22">M24+M28</f>
        <v>1513391.2129077429</v>
      </c>
      <c r="N29" s="928">
        <f t="shared" si="18"/>
        <v>2213548.3608119851</v>
      </c>
      <c r="O29" s="928">
        <f t="shared" si="18"/>
        <v>3071316.3357446818</v>
      </c>
      <c r="P29" s="928">
        <f t="shared" si="18"/>
        <v>4131076.8315997329</v>
      </c>
      <c r="Q29" s="928">
        <f t="shared" si="18"/>
        <v>5429808.2339440491</v>
      </c>
      <c r="R29" s="925"/>
    </row>
    <row r="30" spans="1:18" hidden="1" x14ac:dyDescent="0.35">
      <c r="A30" s="921" t="s">
        <v>1969</v>
      </c>
      <c r="B30" s="921"/>
      <c r="C30" s="929" t="str">
        <f>C29&amp;", %"</f>
        <v>Profit for the period, %</v>
      </c>
      <c r="D30" s="929"/>
      <c r="E30" s="929"/>
      <c r="F30" s="929"/>
      <c r="G30" s="929"/>
      <c r="H30" s="930"/>
      <c r="I30" s="931">
        <f t="shared" ref="I30:Q30" si="23">IF(I$9&lt;&gt;0,I29/I$9,"")</f>
        <v>8.835978835978836E-2</v>
      </c>
      <c r="J30" s="931">
        <f t="shared" si="23"/>
        <v>9.014934750672321E-2</v>
      </c>
      <c r="K30" s="931">
        <f t="shared" si="23"/>
        <v>9.1928733651701011E-2</v>
      </c>
      <c r="L30" s="931">
        <f t="shared" si="23"/>
        <v>7.3070500179601275E-2</v>
      </c>
      <c r="M30" s="931">
        <f t="shared" si="23"/>
        <v>0.10355427741925179</v>
      </c>
      <c r="N30" s="931">
        <f t="shared" si="23"/>
        <v>0.12364306451679154</v>
      </c>
      <c r="O30" s="931">
        <f t="shared" si="23"/>
        <v>0.14004551560738682</v>
      </c>
      <c r="P30" s="931">
        <f t="shared" si="23"/>
        <v>0.15377008014498217</v>
      </c>
      <c r="Q30" s="931">
        <f t="shared" si="23"/>
        <v>0.16498975267792632</v>
      </c>
      <c r="R30" s="925"/>
    </row>
    <row r="31" spans="1:18" ht="6" customHeight="1" x14ac:dyDescent="0.35">
      <c r="A31" s="911" t="s">
        <v>1970</v>
      </c>
      <c r="B31" s="911"/>
      <c r="C31" s="911"/>
      <c r="D31" s="282"/>
      <c r="E31" s="282"/>
      <c r="F31" s="282"/>
      <c r="G31" s="282"/>
      <c r="H31" s="282"/>
      <c r="I31" s="282"/>
      <c r="J31" s="282"/>
      <c r="K31" s="282"/>
      <c r="L31" s="282"/>
      <c r="M31" s="282"/>
      <c r="N31" s="282"/>
      <c r="O31" s="282"/>
      <c r="P31" s="282"/>
      <c r="Q31" s="282"/>
      <c r="R31" s="282"/>
    </row>
    <row r="32" spans="1:18" ht="12.75" customHeight="1" x14ac:dyDescent="0.35">
      <c r="A32" s="921" t="s">
        <v>1971</v>
      </c>
      <c r="B32" s="921"/>
      <c r="C32" s="921" t="s">
        <v>1972</v>
      </c>
      <c r="D32" s="925"/>
      <c r="E32" s="925"/>
      <c r="F32" s="925"/>
      <c r="G32" s="925"/>
      <c r="H32" s="925"/>
      <c r="I32" s="925"/>
      <c r="J32" s="925"/>
      <c r="K32" s="925"/>
      <c r="L32" s="925"/>
      <c r="M32" s="925"/>
      <c r="N32" s="925"/>
      <c r="O32" s="925"/>
      <c r="P32" s="925"/>
      <c r="Q32" s="925"/>
      <c r="R32" s="925"/>
    </row>
    <row r="33" spans="1:18" ht="12.75" customHeight="1" x14ac:dyDescent="0.35">
      <c r="A33" s="911" t="s">
        <v>1973</v>
      </c>
      <c r="B33" s="911"/>
      <c r="C33" s="286" t="s">
        <v>1974</v>
      </c>
      <c r="D33" s="282"/>
      <c r="E33" s="282"/>
      <c r="F33" s="282"/>
      <c r="G33" s="282"/>
      <c r="H33" s="926">
        <f t="shared" ref="H33:Q33" si="24">H29-H34</f>
        <v>0</v>
      </c>
      <c r="I33" s="926">
        <f t="shared" si="24"/>
        <v>83500</v>
      </c>
      <c r="J33" s="926">
        <f t="shared" ref="J33" si="25">J29-J34</f>
        <v>171835.24842194421</v>
      </c>
      <c r="K33" s="926">
        <f t="shared" ref="K33" si="26">K29-K34</f>
        <v>265088.21308700391</v>
      </c>
      <c r="L33" s="926">
        <f t="shared" ref="L33" si="27">L29-L34</f>
        <v>283353.45987895154</v>
      </c>
      <c r="M33" s="926">
        <f t="shared" ref="M33" si="28">M29-M34</f>
        <v>1513391.2129077429</v>
      </c>
      <c r="N33" s="926">
        <f t="shared" si="24"/>
        <v>2213548.3608119851</v>
      </c>
      <c r="O33" s="926">
        <f t="shared" si="24"/>
        <v>3071316.3357446818</v>
      </c>
      <c r="P33" s="926">
        <f t="shared" si="24"/>
        <v>4131076.8315997329</v>
      </c>
      <c r="Q33" s="926">
        <f t="shared" si="24"/>
        <v>5429808.2339440491</v>
      </c>
      <c r="R33" s="282"/>
    </row>
    <row r="34" spans="1:18" ht="12.75" customHeight="1" x14ac:dyDescent="0.35">
      <c r="A34" s="921" t="s">
        <v>1975</v>
      </c>
      <c r="B34" s="921"/>
      <c r="C34" s="286" t="s">
        <v>885</v>
      </c>
      <c r="D34" s="282"/>
      <c r="E34" s="282"/>
      <c r="F34" s="282"/>
      <c r="G34" s="282"/>
      <c r="H34" s="926">
        <f>Calculations!$G$529</f>
        <v>0</v>
      </c>
      <c r="I34" s="926">
        <f>-OFFSET(Calculations!$G$529,0,I$1)</f>
        <v>0</v>
      </c>
      <c r="J34" s="926">
        <f>-OFFSET(Calculations!$G$529,0,J$1)</f>
        <v>0</v>
      </c>
      <c r="K34" s="926">
        <f>-OFFSET(Calculations!$G$529,0,K$1)</f>
        <v>0</v>
      </c>
      <c r="L34" s="926">
        <f>-OFFSET(Calculations!$G$529,0,L$1)</f>
        <v>0</v>
      </c>
      <c r="M34" s="926">
        <f>-OFFSET(Calculations!$G$529,0,M$1)</f>
        <v>0</v>
      </c>
      <c r="N34" s="926">
        <f>-OFFSET(Calculations!$G$529,0,N$1)</f>
        <v>0</v>
      </c>
      <c r="O34" s="926">
        <f>-OFFSET(Calculations!$G$529,0,O$1)</f>
        <v>0</v>
      </c>
      <c r="P34" s="926">
        <f>-OFFSET(Calculations!$G$529,0,P$1)</f>
        <v>0</v>
      </c>
      <c r="Q34" s="926">
        <f>-OFFSET(Calculations!$G$529,0,Q$1)</f>
        <v>0</v>
      </c>
      <c r="R34" s="282"/>
    </row>
    <row r="35" spans="1:18" ht="6" hidden="1" customHeight="1" x14ac:dyDescent="0.35">
      <c r="A35" s="911" t="s">
        <v>1976</v>
      </c>
      <c r="B35" s="911"/>
      <c r="C35" s="286"/>
      <c r="D35" s="282"/>
      <c r="E35" s="282"/>
      <c r="F35" s="282"/>
      <c r="G35" s="282"/>
      <c r="H35" s="926"/>
      <c r="I35" s="926"/>
      <c r="J35" s="926"/>
      <c r="K35" s="926"/>
      <c r="L35" s="926"/>
      <c r="M35" s="926"/>
      <c r="N35" s="926"/>
      <c r="O35" s="926"/>
      <c r="P35" s="926"/>
      <c r="Q35" s="926"/>
      <c r="R35" s="282"/>
    </row>
    <row r="36" spans="1:18" ht="15.5" hidden="1" x14ac:dyDescent="0.35">
      <c r="A36" s="921" t="s">
        <v>1977</v>
      </c>
      <c r="B36" s="921"/>
      <c r="C36" s="934" t="str">
        <f>Calculations!$B$515</f>
        <v>Return on net assets (RONA), %</v>
      </c>
      <c r="D36" s="934"/>
      <c r="E36" s="934"/>
      <c r="F36" s="934"/>
      <c r="G36" s="934"/>
      <c r="H36" s="934"/>
      <c r="I36" s="935" t="str">
        <f>OFFSET(Calculations!$H$531,0,I$1)</f>
        <v>-</v>
      </c>
      <c r="J36" s="935" t="str">
        <f>OFFSET(Calculations!$H$531,0,J$1)</f>
        <v>-</v>
      </c>
      <c r="K36" s="935">
        <f>OFFSET(Calculations!$H$531,0,K$1)</f>
        <v>6.893355284252442E-2</v>
      </c>
      <c r="L36" s="935">
        <f>OFFSET(Calculations!$H$531,0,L$1)</f>
        <v>0.41055818682691603</v>
      </c>
      <c r="M36" s="935">
        <f>OFFSET(Calculations!$H$531,0,M$1)</f>
        <v>0.650793771043499</v>
      </c>
      <c r="N36" s="935">
        <f>OFFSET(Calculations!$H$531,0,N$1)</f>
        <v>0.90148569997215833</v>
      </c>
      <c r="O36" s="935">
        <f>OFFSET(Calculations!$H$531,0,O$1)</f>
        <v>1.1539596184408369</v>
      </c>
      <c r="P36" s="935">
        <f>OFFSET(Calculations!$H$531,0,P$1)</f>
        <v>1.3993931984172201</v>
      </c>
      <c r="Q36" s="935">
        <f>OFFSET(Calculations!$H$531,0,Q$1)</f>
        <v>-0.86338161786418721</v>
      </c>
      <c r="R36" s="282"/>
    </row>
    <row r="37" spans="1:18" ht="15.5" hidden="1" x14ac:dyDescent="0.35">
      <c r="A37" s="911" t="s">
        <v>1978</v>
      </c>
      <c r="B37" s="911"/>
      <c r="C37" s="936" t="str">
        <f>Calculations!$B$516</f>
        <v>Economic Value Added (EVA)</v>
      </c>
      <c r="D37" s="936"/>
      <c r="E37" s="936"/>
      <c r="F37" s="936"/>
      <c r="G37" s="936"/>
      <c r="H37" s="936"/>
      <c r="I37" s="937" t="str">
        <f>OFFSET(Calculations!$H$532,0,I$1)</f>
        <v>-</v>
      </c>
      <c r="J37" s="937" t="str">
        <f>OFFSET(Calculations!$H$532,0,J$1)</f>
        <v>-</v>
      </c>
      <c r="K37" s="937">
        <f>OFFSET(Calculations!$H$532,0,K$1)</f>
        <v>91720.626195630175</v>
      </c>
      <c r="L37" s="937">
        <f>OFFSET(Calculations!$H$532,0,L$1)</f>
        <v>1098354.7365340514</v>
      </c>
      <c r="M37" s="937">
        <f>OFFSET(Calculations!$H$532,0,M$1)</f>
        <v>1832983.9249678</v>
      </c>
      <c r="N37" s="937">
        <f>OFFSET(Calculations!$H$532,0,N$1)</f>
        <v>2728273.8539839927</v>
      </c>
      <c r="O37" s="937">
        <f>OFFSET(Calculations!$H$532,0,O$1)</f>
        <v>3800357.5016479669</v>
      </c>
      <c r="P37" s="937">
        <f>OFFSET(Calculations!$H$532,0,P$1)</f>
        <v>5110502.7866256945</v>
      </c>
      <c r="Q37" s="937">
        <f>OFFSET(Calculations!$H$532,0,Q$1)</f>
        <v>-768460.6640625</v>
      </c>
      <c r="R37" s="282"/>
    </row>
    <row r="38" spans="1:18" ht="20.149999999999999" customHeight="1" x14ac:dyDescent="0.35">
      <c r="A38" s="921" t="s">
        <v>1979</v>
      </c>
      <c r="B38" s="921"/>
      <c r="C38" s="919" t="str">
        <f>$C$5</f>
        <v>Alpha Machine 37</v>
      </c>
      <c r="D38" s="282"/>
      <c r="E38" s="282"/>
      <c r="F38" s="282"/>
      <c r="G38" s="920" t="str">
        <f>$G$5</f>
        <v xml:space="preserve"> Euro</v>
      </c>
      <c r="H38" s="282"/>
      <c r="I38" s="282"/>
      <c r="J38" s="282"/>
      <c r="K38" s="282"/>
      <c r="L38" s="282"/>
      <c r="M38" s="282"/>
      <c r="N38" s="282"/>
      <c r="O38" s="282"/>
      <c r="P38" s="282"/>
      <c r="Q38" s="282"/>
      <c r="R38" s="282"/>
    </row>
    <row r="39" spans="1:18" ht="18" customHeight="1" x14ac:dyDescent="0.4">
      <c r="A39" s="911" t="s">
        <v>1980</v>
      </c>
      <c r="B39" s="911"/>
      <c r="C39" s="922" t="s">
        <v>1087</v>
      </c>
      <c r="D39" s="923"/>
      <c r="E39" s="923"/>
      <c r="F39" s="923"/>
      <c r="G39" s="924"/>
      <c r="H39" s="924" t="str">
        <f t="shared" ref="H39:Q39" si="29">H$6</f>
        <v>9/2017</v>
      </c>
      <c r="I39" s="924" t="str">
        <f t="shared" si="29"/>
        <v>9/2017</v>
      </c>
      <c r="J39" s="924" t="str">
        <f t="shared" si="29"/>
        <v>10/2017</v>
      </c>
      <c r="K39" s="924" t="str">
        <f t="shared" si="29"/>
        <v>11/2017</v>
      </c>
      <c r="L39" s="924" t="str">
        <f t="shared" si="29"/>
        <v>12/2017</v>
      </c>
      <c r="M39" s="924" t="str">
        <f t="shared" si="29"/>
        <v>12/2018</v>
      </c>
      <c r="N39" s="924" t="str">
        <f t="shared" si="29"/>
        <v>12/2019</v>
      </c>
      <c r="O39" s="924" t="str">
        <f t="shared" si="29"/>
        <v>12/2020</v>
      </c>
      <c r="P39" s="924" t="str">
        <f t="shared" si="29"/>
        <v>12/2021</v>
      </c>
      <c r="Q39" s="924" t="str">
        <f t="shared" si="29"/>
        <v>12/2022</v>
      </c>
      <c r="R39" s="925"/>
    </row>
    <row r="40" spans="1:18" ht="6" customHeight="1" x14ac:dyDescent="0.35">
      <c r="A40" s="921" t="s">
        <v>1659</v>
      </c>
      <c r="B40" s="921"/>
      <c r="C40" s="911"/>
      <c r="D40" s="282"/>
      <c r="E40" s="282"/>
      <c r="F40" s="282"/>
      <c r="G40" s="282"/>
      <c r="H40" s="282"/>
      <c r="I40" s="282"/>
      <c r="J40" s="282"/>
      <c r="K40" s="282"/>
      <c r="L40" s="282"/>
      <c r="M40" s="282"/>
      <c r="N40" s="282"/>
      <c r="O40" s="282"/>
      <c r="P40" s="282"/>
      <c r="Q40" s="282"/>
      <c r="R40" s="282"/>
    </row>
    <row r="41" spans="1:18" ht="12.75" customHeight="1" x14ac:dyDescent="0.35">
      <c r="A41" s="911" t="s">
        <v>1681</v>
      </c>
      <c r="B41" s="911"/>
      <c r="C41" s="921" t="s">
        <v>1091</v>
      </c>
      <c r="D41" s="282"/>
      <c r="E41" s="282"/>
      <c r="F41" s="282"/>
      <c r="G41" s="282"/>
      <c r="H41" s="282"/>
      <c r="I41" s="282"/>
      <c r="J41" s="282"/>
      <c r="K41" s="282"/>
      <c r="L41" s="282"/>
      <c r="M41" s="282"/>
      <c r="N41" s="282"/>
      <c r="O41" s="282"/>
      <c r="P41" s="282"/>
      <c r="Q41" s="282"/>
      <c r="R41" s="282"/>
    </row>
    <row r="42" spans="1:18" ht="12.75" customHeight="1" x14ac:dyDescent="0.35">
      <c r="A42" s="921" t="s">
        <v>1981</v>
      </c>
      <c r="B42" s="921"/>
      <c r="C42" s="921" t="s">
        <v>1982</v>
      </c>
      <c r="D42" s="282"/>
      <c r="E42" s="282"/>
      <c r="F42" s="282"/>
      <c r="G42" s="282"/>
      <c r="H42" s="282"/>
      <c r="I42" s="282"/>
      <c r="J42" s="282"/>
      <c r="K42" s="282"/>
      <c r="L42" s="282"/>
      <c r="M42" s="282"/>
      <c r="N42" s="282"/>
      <c r="O42" s="282"/>
      <c r="P42" s="282"/>
      <c r="Q42" s="282"/>
      <c r="R42" s="282"/>
    </row>
    <row r="43" spans="1:18" ht="12.75" customHeight="1" x14ac:dyDescent="0.35">
      <c r="A43" s="911" t="s">
        <v>1706</v>
      </c>
      <c r="B43" s="911"/>
      <c r="C43" s="911" t="s">
        <v>1096</v>
      </c>
      <c r="D43" s="282"/>
      <c r="E43" s="282"/>
      <c r="F43" s="282"/>
      <c r="G43" s="282"/>
      <c r="H43" s="926">
        <f>Calculations!$G$726+Calculations!$G$794+Calculations!$G$718+Calculations!$G$722+Calculations!$G$730+Calculations!$G$1027+Calculations!$G$1028+Calculations!$G$1029+Calculations!$G$1030</f>
        <v>0</v>
      </c>
      <c r="I43" s="926">
        <f>OFFSET(Calculations!$G$726,0,I$1)+OFFSET(Calculations!$G$794,0,I$1)+OFFSET(Calculations!$G$718,0,I$1)+OFFSET(Calculations!$G$722,0,I$1)+OFFSET(Calculations!$G$730,0,I$1)+OFFSET(Calculations!$G$1027,0,I$1)+OFFSET(Calculations!$G$1028,0,I$1)+OFFSET(Calculations!$G$1029,0,I$1)+OFFSET(Calculations!$G$1030,0,I$1)</f>
        <v>0</v>
      </c>
      <c r="J43" s="926">
        <f>OFFSET(Calculations!$G$726,0,J$1)+OFFSET(Calculations!$G$794,0,J$1)+OFFSET(Calculations!$G$718,0,J$1)+OFFSET(Calculations!$G$722,0,J$1)+OFFSET(Calculations!$G$730,0,J$1)+OFFSET(Calculations!$G$1027,0,J$1)+OFFSET(Calculations!$G$1028,0,J$1)+OFFSET(Calculations!$G$1029,0,J$1)+OFFSET(Calculations!$G$1030,0,J$1)</f>
        <v>0</v>
      </c>
      <c r="K43" s="926">
        <f>OFFSET(Calculations!$G$726,0,K$1)+OFFSET(Calculations!$G$794,0,K$1)+OFFSET(Calculations!$G$718,0,K$1)+OFFSET(Calculations!$G$722,0,K$1)+OFFSET(Calculations!$G$730,0,K$1)+OFFSET(Calculations!$G$1027,0,K$1)+OFFSET(Calculations!$G$1028,0,K$1)+OFFSET(Calculations!$G$1029,0,K$1)+OFFSET(Calculations!$G$1030,0,K$1)</f>
        <v>0</v>
      </c>
      <c r="L43" s="926">
        <f>OFFSET(Calculations!$G$726,0,L$1)+OFFSET(Calculations!$G$794,0,L$1)+OFFSET(Calculations!$G$718,0,L$1)+OFFSET(Calculations!$G$722,0,L$1)+OFFSET(Calculations!$G$730,0,L$1)+OFFSET(Calculations!$G$1027,0,L$1)+OFFSET(Calculations!$G$1028,0,L$1)+OFFSET(Calculations!$G$1029,0,L$1)+OFFSET(Calculations!$G$1030,0,L$1)</f>
        <v>0</v>
      </c>
      <c r="M43" s="926">
        <f>OFFSET(Calculations!$G$726,0,M$1)+OFFSET(Calculations!$G$794,0,M$1)+OFFSET(Calculations!$G$718,0,M$1)+OFFSET(Calculations!$G$722,0,M$1)+OFFSET(Calculations!$G$730,0,M$1)+OFFSET(Calculations!$G$1027,0,M$1)+OFFSET(Calculations!$G$1028,0,M$1)+OFFSET(Calculations!$G$1029,0,M$1)+OFFSET(Calculations!$G$1030,0,M$1)</f>
        <v>0</v>
      </c>
      <c r="N43" s="926">
        <f>OFFSET(Calculations!$G$726,0,N$1)+OFFSET(Calculations!$G$794,0,N$1)+OFFSET(Calculations!$G$718,0,N$1)+OFFSET(Calculations!$G$722,0,N$1)+OFFSET(Calculations!$G$730,0,N$1)+OFFSET(Calculations!$G$1027,0,N$1)+OFFSET(Calculations!$G$1028,0,N$1)+OFFSET(Calculations!$G$1029,0,N$1)+OFFSET(Calculations!$G$1030,0,N$1)</f>
        <v>0</v>
      </c>
      <c r="O43" s="926">
        <f>OFFSET(Calculations!$G$726,0,O$1)+OFFSET(Calculations!$G$794,0,O$1)+OFFSET(Calculations!$G$718,0,O$1)+OFFSET(Calculations!$G$722,0,O$1)+OFFSET(Calculations!$G$730,0,O$1)+OFFSET(Calculations!$G$1027,0,O$1)+OFFSET(Calculations!$G$1028,0,O$1)+OFFSET(Calculations!$G$1029,0,O$1)+OFFSET(Calculations!$G$1030,0,O$1)</f>
        <v>0</v>
      </c>
      <c r="P43" s="926">
        <f>OFFSET(Calculations!$G$726,0,P$1)+OFFSET(Calculations!$G$794,0,P$1)+OFFSET(Calculations!$G$718,0,P$1)+OFFSET(Calculations!$G$722,0,P$1)+OFFSET(Calculations!$G$730,0,P$1)+OFFSET(Calculations!$G$1027,0,P$1)+OFFSET(Calculations!$G$1028,0,P$1)+OFFSET(Calculations!$G$1029,0,P$1)+OFFSET(Calculations!$G$1030,0,P$1)</f>
        <v>0</v>
      </c>
      <c r="Q43" s="926">
        <f>OFFSET(Calculations!$G$726,0,Q$1)+OFFSET(Calculations!$G$794,0,Q$1)+OFFSET(Calculations!$G$718,0,Q$1)+OFFSET(Calculations!$G$722,0,Q$1)+OFFSET(Calculations!$G$730,0,Q$1)+OFFSET(Calculations!$G$1027,0,Q$1)+OFFSET(Calculations!$G$1028,0,Q$1)+OFFSET(Calculations!$G$1029,0,Q$1)+OFFSET(Calculations!$G$1030,0,Q$1)</f>
        <v>0</v>
      </c>
      <c r="R43" s="282"/>
    </row>
    <row r="44" spans="1:18" ht="12.75" customHeight="1" x14ac:dyDescent="0.35">
      <c r="A44" s="921" t="s">
        <v>1726</v>
      </c>
      <c r="B44" s="921"/>
      <c r="C44" s="911" t="s">
        <v>1983</v>
      </c>
      <c r="D44" s="282"/>
      <c r="E44" s="282"/>
      <c r="F44" s="282"/>
      <c r="G44" s="282"/>
      <c r="H44" s="926">
        <f>Calculations!$G$734+Calculations!$G$1031+Calculations!$G$1032+Calculations!$G$1033+Calculations!$G$1034</f>
        <v>0</v>
      </c>
      <c r="I44" s="926">
        <f>OFFSET(Calculations!$G$734,0,I$1)+OFFSET(Calculations!$G$1031,0,I$1)+OFFSET(Calculations!$G$1032,0,I$1)+OFFSET(Calculations!$G$1033,0,I$1)+OFFSET(Calculations!$G$1034,0,I$1)</f>
        <v>1498333.3333333333</v>
      </c>
      <c r="J44" s="926">
        <f>OFFSET(Calculations!$G$734,0,J$1)+OFFSET(Calculations!$G$1031,0,J$1)+OFFSET(Calculations!$G$1032,0,J$1)+OFFSET(Calculations!$G$1033,0,J$1)+OFFSET(Calculations!$G$1034,0,J$1)</f>
        <v>1974166.6666666665</v>
      </c>
      <c r="K44" s="926">
        <f>OFFSET(Calculations!$G$734,0,K$1)+OFFSET(Calculations!$G$1031,0,K$1)+OFFSET(Calculations!$G$1032,0,K$1)+OFFSET(Calculations!$G$1033,0,K$1)+OFFSET(Calculations!$G$1034,0,K$1)</f>
        <v>2298833.3333333335</v>
      </c>
      <c r="L44" s="926">
        <f>OFFSET(Calculations!$G$734,0,L$1)+OFFSET(Calculations!$G$1031,0,L$1)+OFFSET(Calculations!$G$1032,0,L$1)+OFFSET(Calculations!$G$1033,0,L$1)+OFFSET(Calculations!$G$1034,0,L$1)</f>
        <v>2622333.3333333335</v>
      </c>
      <c r="M44" s="926">
        <f>OFFSET(Calculations!$G$734,0,M$1)+OFFSET(Calculations!$G$1031,0,M$1)+OFFSET(Calculations!$G$1032,0,M$1)+OFFSET(Calculations!$G$1033,0,M$1)+OFFSET(Calculations!$G$1034,0,M$1)</f>
        <v>2319958.3333333335</v>
      </c>
      <c r="N44" s="926">
        <f>OFFSET(Calculations!$G$734,0,N$1)+OFFSET(Calculations!$G$1031,0,N$1)+OFFSET(Calculations!$G$1032,0,N$1)+OFFSET(Calculations!$G$1033,0,N$1)+OFFSET(Calculations!$G$1034,0,N$1)</f>
        <v>2143677.0833333335</v>
      </c>
      <c r="O44" s="926">
        <f>OFFSET(Calculations!$G$734,0,O$1)+OFFSET(Calculations!$G$1031,0,O$1)+OFFSET(Calculations!$G$1032,0,O$1)+OFFSET(Calculations!$G$1033,0,O$1)+OFFSET(Calculations!$G$1034,0,O$1)</f>
        <v>1921341.1458333335</v>
      </c>
      <c r="P44" s="926">
        <f>OFFSET(Calculations!$G$734,0,P$1)+OFFSET(Calculations!$G$1031,0,P$1)+OFFSET(Calculations!$G$1032,0,P$1)+OFFSET(Calculations!$G$1033,0,P$1)+OFFSET(Calculations!$G$1034,0,P$1)</f>
        <v>1765714.1927083335</v>
      </c>
      <c r="Q44" s="926">
        <f>OFFSET(Calculations!$G$734,0,Q$1)+OFFSET(Calculations!$G$1031,0,Q$1)+OFFSET(Calculations!$G$1032,0,Q$1)+OFFSET(Calculations!$G$1033,0,Q$1)+OFFSET(Calculations!$G$1034,0,Q$1)</f>
        <v>1589806.4778645835</v>
      </c>
      <c r="R44" s="282"/>
    </row>
    <row r="45" spans="1:18" ht="12.75" customHeight="1" x14ac:dyDescent="0.35">
      <c r="A45" s="911" t="s">
        <v>1984</v>
      </c>
      <c r="B45" s="911"/>
      <c r="C45" s="911" t="s">
        <v>1985</v>
      </c>
      <c r="D45" s="282"/>
      <c r="E45" s="282"/>
      <c r="F45" s="282"/>
      <c r="G45" s="282"/>
      <c r="H45" s="926">
        <f>Calculations!$G$756+Calculations!$G$1035</f>
        <v>0</v>
      </c>
      <c r="I45" s="926">
        <f>OFFSET(Calculations!$G$756,0,I$1)+OFFSET(Calculations!$G$1035,0,I$1)</f>
        <v>0</v>
      </c>
      <c r="J45" s="926">
        <f>OFFSET(Calculations!$G$756,0,J$1)+OFFSET(Calculations!$G$1035,0,J$1)</f>
        <v>0</v>
      </c>
      <c r="K45" s="926">
        <f>OFFSET(Calculations!$G$756,0,K$1)+OFFSET(Calculations!$G$1035,0,K$1)</f>
        <v>0</v>
      </c>
      <c r="L45" s="926">
        <f>OFFSET(Calculations!$G$756,0,L$1)+OFFSET(Calculations!$G$1035,0,L$1)</f>
        <v>0</v>
      </c>
      <c r="M45" s="926">
        <f>OFFSET(Calculations!$G$756,0,M$1)+OFFSET(Calculations!$G$1035,0,M$1)</f>
        <v>0</v>
      </c>
      <c r="N45" s="926">
        <f>OFFSET(Calculations!$G$756,0,N$1)+OFFSET(Calculations!$G$1035,0,N$1)</f>
        <v>0</v>
      </c>
      <c r="O45" s="926">
        <f>OFFSET(Calculations!$G$756,0,O$1)+OFFSET(Calculations!$G$1035,0,O$1)</f>
        <v>0</v>
      </c>
      <c r="P45" s="926">
        <f>OFFSET(Calculations!$G$756,0,P$1)+OFFSET(Calculations!$G$1035,0,P$1)</f>
        <v>0</v>
      </c>
      <c r="Q45" s="926">
        <f>OFFSET(Calculations!$G$756,0,Q$1)+OFFSET(Calculations!$G$1035,0,Q$1)</f>
        <v>0</v>
      </c>
      <c r="R45" s="282"/>
    </row>
    <row r="46" spans="1:18" ht="12.75" customHeight="1" x14ac:dyDescent="0.35">
      <c r="A46" s="921" t="s">
        <v>1986</v>
      </c>
      <c r="B46" s="921"/>
      <c r="C46" s="911" t="s">
        <v>1987</v>
      </c>
      <c r="D46" s="282"/>
      <c r="E46" s="282"/>
      <c r="F46" s="282"/>
      <c r="G46" s="282"/>
      <c r="H46" s="926">
        <f>Calculations!$G$768+Calculations!$G$1036</f>
        <v>0</v>
      </c>
      <c r="I46" s="926">
        <f>OFFSET(Calculations!$G$768,0,I$1)+OFFSET(Calculations!$G$1036,0,I$1)</f>
        <v>0</v>
      </c>
      <c r="J46" s="926">
        <f>OFFSET(Calculations!$G$768,0,J$1)+OFFSET(Calculations!$G$1036,0,J$1)</f>
        <v>0</v>
      </c>
      <c r="K46" s="926">
        <f>OFFSET(Calculations!$G$768,0,K$1)+OFFSET(Calculations!$G$1036,0,K$1)</f>
        <v>0</v>
      </c>
      <c r="L46" s="926">
        <f>OFFSET(Calculations!$G$768,0,L$1)+OFFSET(Calculations!$G$1036,0,L$1)</f>
        <v>0</v>
      </c>
      <c r="M46" s="926">
        <f>OFFSET(Calculations!$G$768,0,M$1)+OFFSET(Calculations!$G$1036,0,M$1)</f>
        <v>0</v>
      </c>
      <c r="N46" s="926">
        <f>OFFSET(Calculations!$G$768,0,N$1)+OFFSET(Calculations!$G$1036,0,N$1)</f>
        <v>0</v>
      </c>
      <c r="O46" s="926">
        <f>OFFSET(Calculations!$G$768,0,O$1)+OFFSET(Calculations!$G$1036,0,O$1)</f>
        <v>0</v>
      </c>
      <c r="P46" s="926">
        <f>OFFSET(Calculations!$G$768,0,P$1)+OFFSET(Calculations!$G$1036,0,P$1)</f>
        <v>0</v>
      </c>
      <c r="Q46" s="926">
        <f>OFFSET(Calculations!$G$768,0,Q$1)+OFFSET(Calculations!$G$1036,0,Q$1)</f>
        <v>0</v>
      </c>
      <c r="R46" s="282"/>
    </row>
    <row r="47" spans="1:18" ht="12.75" customHeight="1" x14ac:dyDescent="0.35">
      <c r="A47" s="911" t="s">
        <v>1988</v>
      </c>
      <c r="B47" s="911"/>
      <c r="C47" s="911" t="s">
        <v>1161</v>
      </c>
      <c r="D47" s="282"/>
      <c r="E47" s="282"/>
      <c r="F47" s="282"/>
      <c r="G47" s="282"/>
      <c r="H47" s="926">
        <f>Calculations!$G$760+Calculations!$G$1037</f>
        <v>0</v>
      </c>
      <c r="I47" s="926">
        <f>OFFSET(Calculations!$G$760,0,I$1)+OFFSET(Calculations!$G$1037,0,I$1)</f>
        <v>0</v>
      </c>
      <c r="J47" s="926">
        <f>OFFSET(Calculations!$G$760,0,J$1)+OFFSET(Calculations!$G$1037,0,J$1)</f>
        <v>0</v>
      </c>
      <c r="K47" s="926">
        <f>OFFSET(Calculations!$G$760,0,K$1)+OFFSET(Calculations!$G$1037,0,K$1)</f>
        <v>0</v>
      </c>
      <c r="L47" s="926">
        <f>OFFSET(Calculations!$G$760,0,L$1)+OFFSET(Calculations!$G$1037,0,L$1)</f>
        <v>0</v>
      </c>
      <c r="M47" s="926">
        <f>OFFSET(Calculations!$G$760,0,M$1)+OFFSET(Calculations!$G$1037,0,M$1)</f>
        <v>0</v>
      </c>
      <c r="N47" s="926">
        <f>OFFSET(Calculations!$G$760,0,N$1)+OFFSET(Calculations!$G$1037,0,N$1)</f>
        <v>0</v>
      </c>
      <c r="O47" s="926">
        <f>OFFSET(Calculations!$G$760,0,O$1)+OFFSET(Calculations!$G$1037,0,O$1)</f>
        <v>0</v>
      </c>
      <c r="P47" s="926">
        <f>OFFSET(Calculations!$G$760,0,P$1)+OFFSET(Calculations!$G$1037,0,P$1)</f>
        <v>0</v>
      </c>
      <c r="Q47" s="926">
        <f>OFFSET(Calculations!$G$760,0,Q$1)+OFFSET(Calculations!$G$1037,0,Q$1)</f>
        <v>0</v>
      </c>
      <c r="R47" s="282"/>
    </row>
    <row r="48" spans="1:18" ht="12.75" customHeight="1" x14ac:dyDescent="0.35">
      <c r="A48" s="921" t="s">
        <v>1989</v>
      </c>
      <c r="B48" s="921"/>
      <c r="C48" s="911" t="s">
        <v>1990</v>
      </c>
      <c r="D48" s="282"/>
      <c r="E48" s="282"/>
      <c r="F48" s="282"/>
      <c r="G48" s="282"/>
      <c r="H48" s="926">
        <f>Calculations!$G$764+Calculations!$G$1038</f>
        <v>0</v>
      </c>
      <c r="I48" s="926">
        <f>OFFSET(Calculations!$G$764,0,I$1)+OFFSET(Calculations!$G$1038,0,I$1)</f>
        <v>0</v>
      </c>
      <c r="J48" s="926">
        <f>OFFSET(Calculations!$G$764,0,J$1)+OFFSET(Calculations!$G$1038,0,J$1)</f>
        <v>0</v>
      </c>
      <c r="K48" s="926">
        <f>OFFSET(Calculations!$G$764,0,K$1)+OFFSET(Calculations!$G$1038,0,K$1)</f>
        <v>0</v>
      </c>
      <c r="L48" s="926">
        <f>OFFSET(Calculations!$G$764,0,L$1)+OFFSET(Calculations!$G$1038,0,L$1)</f>
        <v>0</v>
      </c>
      <c r="M48" s="926">
        <f>OFFSET(Calculations!$G$764,0,M$1)+OFFSET(Calculations!$G$1038,0,M$1)</f>
        <v>0</v>
      </c>
      <c r="N48" s="926">
        <f>OFFSET(Calculations!$G$764,0,N$1)+OFFSET(Calculations!$G$1038,0,N$1)</f>
        <v>0</v>
      </c>
      <c r="O48" s="926">
        <f>OFFSET(Calculations!$G$764,0,O$1)+OFFSET(Calculations!$G$1038,0,O$1)</f>
        <v>0</v>
      </c>
      <c r="P48" s="926">
        <f>OFFSET(Calculations!$G$764,0,P$1)+OFFSET(Calculations!$G$1038,0,P$1)</f>
        <v>0</v>
      </c>
      <c r="Q48" s="926">
        <f>OFFSET(Calculations!$G$764,0,Q$1)+OFFSET(Calculations!$G$1038,0,Q$1)</f>
        <v>0</v>
      </c>
      <c r="R48" s="282"/>
    </row>
    <row r="49" spans="1:18" ht="12.75" customHeight="1" x14ac:dyDescent="0.35">
      <c r="A49" s="911" t="s">
        <v>1991</v>
      </c>
      <c r="B49" s="911"/>
      <c r="C49" s="927" t="s">
        <v>1992</v>
      </c>
      <c r="D49" s="927"/>
      <c r="E49" s="927"/>
      <c r="F49" s="927"/>
      <c r="G49" s="927"/>
      <c r="H49" s="928">
        <f t="shared" ref="H49:Q49" si="30">SUM(H43:H48)</f>
        <v>0</v>
      </c>
      <c r="I49" s="928">
        <f t="shared" si="30"/>
        <v>1498333.3333333333</v>
      </c>
      <c r="J49" s="928">
        <f t="shared" ref="J49" si="31">SUM(J43:J48)</f>
        <v>1974166.6666666665</v>
      </c>
      <c r="K49" s="928">
        <f t="shared" ref="K49" si="32">SUM(K43:K48)</f>
        <v>2298833.3333333335</v>
      </c>
      <c r="L49" s="928">
        <f t="shared" ref="L49" si="33">SUM(L43:L48)</f>
        <v>2622333.3333333335</v>
      </c>
      <c r="M49" s="928">
        <f t="shared" ref="M49" si="34">SUM(M43:M48)</f>
        <v>2319958.3333333335</v>
      </c>
      <c r="N49" s="928">
        <f t="shared" si="30"/>
        <v>2143677.0833333335</v>
      </c>
      <c r="O49" s="928">
        <f t="shared" si="30"/>
        <v>1921341.1458333335</v>
      </c>
      <c r="P49" s="928">
        <f t="shared" si="30"/>
        <v>1765714.1927083335</v>
      </c>
      <c r="Q49" s="928">
        <f t="shared" si="30"/>
        <v>1589806.4778645835</v>
      </c>
      <c r="R49" s="925"/>
    </row>
    <row r="50" spans="1:18" ht="6" customHeight="1" x14ac:dyDescent="0.35">
      <c r="A50" s="921" t="s">
        <v>1993</v>
      </c>
      <c r="B50" s="921"/>
      <c r="C50" s="911"/>
      <c r="D50" s="282"/>
      <c r="E50" s="282"/>
      <c r="F50" s="282"/>
      <c r="G50" s="282"/>
      <c r="H50" s="282"/>
      <c r="I50" s="282"/>
      <c r="J50" s="282"/>
      <c r="K50" s="282"/>
      <c r="L50" s="282"/>
      <c r="M50" s="282"/>
      <c r="N50" s="282"/>
      <c r="O50" s="282"/>
      <c r="P50" s="282"/>
      <c r="Q50" s="282"/>
      <c r="R50" s="282"/>
    </row>
    <row r="51" spans="1:18" ht="12.75" customHeight="1" x14ac:dyDescent="0.35">
      <c r="A51" s="911" t="s">
        <v>1994</v>
      </c>
      <c r="B51" s="911"/>
      <c r="C51" s="921" t="s">
        <v>1995</v>
      </c>
      <c r="D51" s="282"/>
      <c r="E51" s="282"/>
      <c r="F51" s="282"/>
      <c r="G51" s="282"/>
      <c r="H51" s="282"/>
      <c r="I51" s="282"/>
      <c r="J51" s="282"/>
      <c r="K51" s="282"/>
      <c r="L51" s="282"/>
      <c r="M51" s="282"/>
      <c r="N51" s="282"/>
      <c r="O51" s="282"/>
      <c r="P51" s="282"/>
      <c r="Q51" s="282"/>
      <c r="R51" s="282"/>
    </row>
    <row r="52" spans="1:18" ht="12.75" customHeight="1" x14ac:dyDescent="0.35">
      <c r="A52" s="921" t="s">
        <v>1996</v>
      </c>
      <c r="B52" s="921"/>
      <c r="C52" s="911" t="s">
        <v>961</v>
      </c>
      <c r="D52" s="282"/>
      <c r="E52" s="282"/>
      <c r="F52" s="282"/>
      <c r="G52" s="282"/>
      <c r="H52" s="926">
        <f>Calculations!$G$774</f>
        <v>0</v>
      </c>
      <c r="I52" s="926">
        <f>OFFSET(Calculations!$G$774,0,I$1)</f>
        <v>661500</v>
      </c>
      <c r="J52" s="926">
        <f>OFFSET(Calculations!$G$774,0,J$1)</f>
        <v>1003532.2463178703</v>
      </c>
      <c r="K52" s="926">
        <f>OFFSET(Calculations!$G$774,0,K$1)</f>
        <v>1020648.0407107412</v>
      </c>
      <c r="L52" s="926">
        <f>OFFSET(Calculations!$G$774,0,L$1)</f>
        <v>1038055.7543904847</v>
      </c>
      <c r="M52" s="926">
        <f>OFFSET(Calculations!$G$774,0,M$1)</f>
        <v>1136681.2495038167</v>
      </c>
      <c r="N52" s="926">
        <f>OFFSET(Calculations!$G$774,0,N$1)</f>
        <v>1392434.5306421751</v>
      </c>
      <c r="O52" s="926">
        <f>OFFSET(Calculations!$G$774,0,O$1)</f>
        <v>1705732.3000366648</v>
      </c>
      <c r="P52" s="926">
        <f>OFFSET(Calculations!$G$774,0,P$1)</f>
        <v>2089522.0675449143</v>
      </c>
      <c r="Q52" s="926">
        <f>OFFSET(Calculations!$G$774,0,Q$1)</f>
        <v>2559664.5327425199</v>
      </c>
      <c r="R52" s="282"/>
    </row>
    <row r="53" spans="1:18" ht="12.75" customHeight="1" x14ac:dyDescent="0.35">
      <c r="A53" s="911" t="s">
        <v>1997</v>
      </c>
      <c r="B53" s="911"/>
      <c r="C53" s="911" t="s">
        <v>1998</v>
      </c>
      <c r="D53" s="282"/>
      <c r="E53" s="282"/>
      <c r="F53" s="282"/>
      <c r="G53" s="282"/>
      <c r="H53" s="926">
        <f>Calculations!$G$775+Calculations!$G$776+Calculations!$G$777+Calculations!$G$778</f>
        <v>0</v>
      </c>
      <c r="I53" s="926">
        <f>OFFSET(Calculations!$G$775,0,I$1)+OFFSET(Calculations!$G$776,0,I$1)+OFFSET(Calculations!$G$777,0,I$1)+OFFSET(Calculations!$G$778,0,I$1)</f>
        <v>945000</v>
      </c>
      <c r="J53" s="926">
        <f>OFFSET(Calculations!$G$775,0,J$1)+OFFSET(Calculations!$G$776,0,J$1)+OFFSET(Calculations!$G$777,0,J$1)+OFFSET(Calculations!$G$778,0,J$1)</f>
        <v>961117.49473981478</v>
      </c>
      <c r="K53" s="926">
        <f>OFFSET(Calculations!$G$775,0,K$1)+OFFSET(Calculations!$G$776,0,K$1)+OFFSET(Calculations!$G$777,0,K$1)+OFFSET(Calculations!$G$778,0,K$1)</f>
        <v>977509.88221686566</v>
      </c>
      <c r="L53" s="926">
        <f>OFFSET(Calculations!$G$775,0,L$1)+OFFSET(Calculations!$G$776,0,L$1)+OFFSET(Calculations!$G$777,0,L$1)+OFFSET(Calculations!$G$778,0,L$1)</f>
        <v>994181.85087797383</v>
      </c>
      <c r="M53" s="926">
        <f>OFFSET(Calculations!$G$775,0,M$1)+OFFSET(Calculations!$G$776,0,M$1)+OFFSET(Calculations!$G$777,0,M$1)+OFFSET(Calculations!$G$778,0,M$1)</f>
        <v>1217872.767325518</v>
      </c>
      <c r="N53" s="926">
        <f>OFFSET(Calculations!$G$775,0,N$1)+OFFSET(Calculations!$G$776,0,N$1)+OFFSET(Calculations!$G$777,0,N$1)+OFFSET(Calculations!$G$778,0,N$1)</f>
        <v>1491894.1399737592</v>
      </c>
      <c r="O53" s="926">
        <f>OFFSET(Calculations!$G$775,0,O$1)+OFFSET(Calculations!$G$776,0,O$1)+OFFSET(Calculations!$G$777,0,O$1)+OFFSET(Calculations!$G$778,0,O$1)</f>
        <v>1827570.3214678552</v>
      </c>
      <c r="P53" s="926">
        <f>OFFSET(Calculations!$G$775,0,P$1)+OFFSET(Calculations!$G$776,0,P$1)+OFFSET(Calculations!$G$777,0,P$1)+OFFSET(Calculations!$G$778,0,P$1)</f>
        <v>2238773.6437981222</v>
      </c>
      <c r="Q53" s="926">
        <f>OFFSET(Calculations!$G$775,0,Q$1)+OFFSET(Calculations!$G$776,0,Q$1)+OFFSET(Calculations!$G$777,0,Q$1)+OFFSET(Calculations!$G$778,0,Q$1)</f>
        <v>2742497.7136527002</v>
      </c>
      <c r="R53" s="282"/>
    </row>
    <row r="54" spans="1:18" ht="12.75" customHeight="1" x14ac:dyDescent="0.35">
      <c r="A54" s="921" t="s">
        <v>1999</v>
      </c>
      <c r="B54" s="921"/>
      <c r="C54" s="911" t="s">
        <v>2000</v>
      </c>
      <c r="D54" s="282"/>
      <c r="E54" s="282"/>
      <c r="F54" s="282"/>
      <c r="G54" s="282"/>
      <c r="H54" s="926">
        <f>Calculations!$G$779+Calculations!$G$795</f>
        <v>0</v>
      </c>
      <c r="I54" s="926">
        <f>OFFSET(Calculations!$G$779,0,I$1)+OFFSET(Calculations!$G$795,0,I$1)</f>
        <v>-2537900</v>
      </c>
      <c r="J54" s="926">
        <f>OFFSET(Calculations!$G$779,0,J$1)+OFFSET(Calculations!$G$795,0,J$1)</f>
        <v>-3299440.8453359688</v>
      </c>
      <c r="K54" s="926">
        <f>OFFSET(Calculations!$G$779,0,K$1)+OFFSET(Calculations!$G$795,0,K$1)</f>
        <v>-3581281.3036359446</v>
      </c>
      <c r="L54" s="926">
        <f>OFFSET(Calculations!$G$779,0,L$1)+OFFSET(Calculations!$G$795,0,L$1)</f>
        <v>-3938537.4619388129</v>
      </c>
      <c r="M54" s="926">
        <f>OFFSET(Calculations!$G$779,0,M$1)+OFFSET(Calculations!$G$795,0,M$1)</f>
        <v>-2632634.65681554</v>
      </c>
      <c r="N54" s="926">
        <f>OFFSET(Calculations!$G$779,0,N$1)+OFFSET(Calculations!$G$795,0,N$1)</f>
        <v>-898196.64516405761</v>
      </c>
      <c r="O54" s="926">
        <f>OFFSET(Calculations!$G$779,0,O$1)+OFFSET(Calculations!$G$795,0,O$1)</f>
        <v>1696459.5128590078</v>
      </c>
      <c r="P54" s="926">
        <f>OFFSET(Calculations!$G$779,0,P$1)+OFFSET(Calculations!$G$795,0,P$1)</f>
        <v>5198627.6267497614</v>
      </c>
      <c r="Q54" s="926">
        <f>OFFSET(Calculations!$G$779,0,Q$1)+OFFSET(Calculations!$G$795,0,Q$1)</f>
        <v>9913147.6815003101</v>
      </c>
      <c r="R54" s="282"/>
    </row>
    <row r="55" spans="1:18" ht="12.75" customHeight="1" x14ac:dyDescent="0.35">
      <c r="A55" s="911" t="s">
        <v>818</v>
      </c>
      <c r="B55" s="911"/>
      <c r="C55" s="927" t="s">
        <v>2001</v>
      </c>
      <c r="D55" s="927"/>
      <c r="E55" s="927"/>
      <c r="F55" s="927"/>
      <c r="G55" s="927"/>
      <c r="H55" s="928">
        <f t="shared" ref="H55:Q55" si="35">SUM(H52:H54)</f>
        <v>0</v>
      </c>
      <c r="I55" s="928">
        <f t="shared" si="35"/>
        <v>-931400</v>
      </c>
      <c r="J55" s="928">
        <f t="shared" ref="J55" si="36">SUM(J52:J54)</f>
        <v>-1334791.1042782837</v>
      </c>
      <c r="K55" s="928">
        <f t="shared" ref="K55" si="37">SUM(K52:K54)</f>
        <v>-1583123.3807083378</v>
      </c>
      <c r="L55" s="928">
        <f t="shared" ref="L55" si="38">SUM(L52:L54)</f>
        <v>-1906299.8566703545</v>
      </c>
      <c r="M55" s="928">
        <f t="shared" ref="M55" si="39">SUM(M52:M54)</f>
        <v>-278080.63998620538</v>
      </c>
      <c r="N55" s="928">
        <f t="shared" si="35"/>
        <v>1986132.0254518767</v>
      </c>
      <c r="O55" s="928">
        <f t="shared" si="35"/>
        <v>5229762.1343635283</v>
      </c>
      <c r="P55" s="928">
        <f t="shared" si="35"/>
        <v>9526923.3380927984</v>
      </c>
      <c r="Q55" s="928">
        <f t="shared" si="35"/>
        <v>15215309.927895531</v>
      </c>
      <c r="R55" s="925"/>
    </row>
    <row r="56" spans="1:18" ht="6" customHeight="1" x14ac:dyDescent="0.35">
      <c r="A56" s="921" t="s">
        <v>2002</v>
      </c>
      <c r="B56" s="921"/>
      <c r="C56" s="911"/>
      <c r="D56" s="282"/>
      <c r="E56" s="282"/>
      <c r="F56" s="282"/>
      <c r="G56" s="282"/>
      <c r="H56" s="282"/>
      <c r="I56" s="282"/>
      <c r="J56" s="282"/>
      <c r="K56" s="282"/>
      <c r="L56" s="282"/>
      <c r="M56" s="282"/>
      <c r="N56" s="282"/>
      <c r="O56" s="282"/>
      <c r="P56" s="282"/>
      <c r="Q56" s="282"/>
      <c r="R56" s="282"/>
    </row>
    <row r="57" spans="1:18" ht="13.5" customHeight="1" thickBot="1" x14ac:dyDescent="0.4">
      <c r="A57" s="911" t="s">
        <v>820</v>
      </c>
      <c r="B57" s="911"/>
      <c r="C57" s="938" t="s">
        <v>2003</v>
      </c>
      <c r="D57" s="938"/>
      <c r="E57" s="938"/>
      <c r="F57" s="938"/>
      <c r="G57" s="938"/>
      <c r="H57" s="939">
        <f t="shared" ref="H57:Q57" si="40">H49+H55</f>
        <v>0</v>
      </c>
      <c r="I57" s="939">
        <f t="shared" si="40"/>
        <v>566933.33333333326</v>
      </c>
      <c r="J57" s="939">
        <f t="shared" ref="J57" si="41">J49+J55</f>
        <v>639375.56238838285</v>
      </c>
      <c r="K57" s="939">
        <f t="shared" ref="K57" si="42">K49+K55</f>
        <v>715709.95262499573</v>
      </c>
      <c r="L57" s="939">
        <f t="shared" ref="L57" si="43">L49+L55</f>
        <v>716033.476662979</v>
      </c>
      <c r="M57" s="939">
        <f t="shared" ref="M57" si="44">M49+M55</f>
        <v>2041877.6933471281</v>
      </c>
      <c r="N57" s="939">
        <f t="shared" si="40"/>
        <v>4129809.1087852102</v>
      </c>
      <c r="O57" s="939">
        <f t="shared" si="40"/>
        <v>7151103.2801968623</v>
      </c>
      <c r="P57" s="939">
        <f t="shared" si="40"/>
        <v>11292637.530801132</v>
      </c>
      <c r="Q57" s="939">
        <f t="shared" si="40"/>
        <v>16805116.405760113</v>
      </c>
      <c r="R57" s="925"/>
    </row>
    <row r="58" spans="1:18" ht="6" customHeight="1" thickTop="1" x14ac:dyDescent="0.35">
      <c r="A58" s="921" t="s">
        <v>824</v>
      </c>
      <c r="B58" s="921"/>
      <c r="C58" s="921"/>
      <c r="D58" s="282"/>
      <c r="E58" s="282"/>
      <c r="F58" s="282"/>
      <c r="G58" s="282"/>
      <c r="H58" s="282"/>
      <c r="I58" s="282"/>
      <c r="J58" s="282"/>
      <c r="K58" s="282"/>
      <c r="L58" s="282"/>
      <c r="M58" s="282"/>
      <c r="N58" s="282"/>
      <c r="O58" s="282"/>
      <c r="P58" s="282"/>
      <c r="Q58" s="282"/>
      <c r="R58" s="282"/>
    </row>
    <row r="59" spans="1:18" ht="12.75" customHeight="1" x14ac:dyDescent="0.35">
      <c r="A59" s="911" t="s">
        <v>963</v>
      </c>
      <c r="B59" s="911"/>
      <c r="C59" s="921" t="s">
        <v>2004</v>
      </c>
      <c r="D59" s="252"/>
      <c r="E59" s="252"/>
      <c r="F59" s="252"/>
      <c r="G59" s="252"/>
      <c r="H59" s="252"/>
      <c r="I59" s="252"/>
      <c r="J59" s="252"/>
      <c r="K59" s="252"/>
      <c r="L59" s="252"/>
      <c r="M59" s="252"/>
      <c r="N59" s="252"/>
      <c r="O59" s="252"/>
      <c r="P59" s="252"/>
      <c r="Q59" s="252"/>
      <c r="R59" s="252"/>
    </row>
    <row r="60" spans="1:18" ht="12.75" customHeight="1" x14ac:dyDescent="0.35">
      <c r="A60" s="921" t="s">
        <v>828</v>
      </c>
      <c r="B60" s="921"/>
      <c r="C60" s="921" t="s">
        <v>2005</v>
      </c>
      <c r="D60" s="282"/>
      <c r="E60" s="282"/>
      <c r="F60" s="282"/>
      <c r="G60" s="282"/>
      <c r="H60" s="282"/>
      <c r="I60" s="282"/>
      <c r="J60" s="282"/>
      <c r="K60" s="282"/>
      <c r="L60" s="282"/>
      <c r="M60" s="282"/>
      <c r="N60" s="282"/>
      <c r="O60" s="282"/>
      <c r="P60" s="282"/>
      <c r="Q60" s="282"/>
      <c r="R60" s="282"/>
    </row>
    <row r="61" spans="1:18" ht="12.75" customHeight="1" x14ac:dyDescent="0.35">
      <c r="A61" s="911" t="s">
        <v>834</v>
      </c>
      <c r="B61" s="911"/>
      <c r="C61" s="286" t="s">
        <v>677</v>
      </c>
      <c r="D61" s="282"/>
      <c r="E61" s="282"/>
      <c r="F61" s="282"/>
      <c r="G61" s="282"/>
      <c r="H61" s="926">
        <f>Calculations!$G$800+IF(InvFileType&lt;&gt;2,Calculations!$G$932,0)</f>
        <v>0</v>
      </c>
      <c r="I61" s="926">
        <f>OFFSET(Calculations!$G$800,0,I$1)+IF(InvFileType&lt;&gt;2,OFFSET(Calculations!$G$932,0,I$1),0)</f>
        <v>0</v>
      </c>
      <c r="J61" s="926">
        <f>OFFSET(Calculations!$G$800,0,J$1)+IF(InvFileType&lt;&gt;2,OFFSET(Calculations!$G$932,0,J$1),0)</f>
        <v>0</v>
      </c>
      <c r="K61" s="926">
        <f>OFFSET(Calculations!$G$800,0,K$1)+IF(InvFileType&lt;&gt;2,OFFSET(Calculations!$G$932,0,K$1),0)</f>
        <v>0</v>
      </c>
      <c r="L61" s="926">
        <f>OFFSET(Calculations!$G$800,0,L$1)+IF(InvFileType&lt;&gt;2,OFFSET(Calculations!$G$932,0,L$1),0)</f>
        <v>0</v>
      </c>
      <c r="M61" s="926">
        <f>OFFSET(Calculations!$G$800,0,M$1)+IF(InvFileType&lt;&gt;2,OFFSET(Calculations!$G$932,0,M$1),0)</f>
        <v>0</v>
      </c>
      <c r="N61" s="926">
        <f>OFFSET(Calculations!$G$800,0,N$1)+IF(InvFileType&lt;&gt;2,OFFSET(Calculations!$G$932,0,N$1),0)</f>
        <v>0</v>
      </c>
      <c r="O61" s="926">
        <f>OFFSET(Calculations!$G$800,0,O$1)+IF(InvFileType&lt;&gt;2,OFFSET(Calculations!$G$932,0,O$1),0)</f>
        <v>0</v>
      </c>
      <c r="P61" s="926">
        <f>OFFSET(Calculations!$G$800,0,P$1)+IF(InvFileType&lt;&gt;2,OFFSET(Calculations!$G$932,0,P$1),0)</f>
        <v>0</v>
      </c>
      <c r="Q61" s="926">
        <f>OFFSET(Calculations!$G$800,0,Q$1)+IF(InvFileType&lt;&gt;2,OFFSET(Calculations!$G$932,0,Q$1),0)</f>
        <v>0</v>
      </c>
      <c r="R61" s="282"/>
    </row>
    <row r="62" spans="1:18" ht="12.75" customHeight="1" x14ac:dyDescent="0.35">
      <c r="A62" s="921" t="s">
        <v>836</v>
      </c>
      <c r="B62" s="921"/>
      <c r="C62" s="286" t="s">
        <v>2006</v>
      </c>
      <c r="D62" s="282"/>
      <c r="E62" s="282"/>
      <c r="F62" s="282"/>
      <c r="G62" s="282"/>
      <c r="H62" s="926">
        <f>Calculations!$G$805-H61</f>
        <v>0</v>
      </c>
      <c r="I62" s="926">
        <f>OFFSET(Calculations!$G$805,0,I$1)-I61</f>
        <v>81833.333333333328</v>
      </c>
      <c r="J62" s="926">
        <f>OFFSET(Calculations!$G$805,0,J$1)-J61</f>
        <v>146001.91508861113</v>
      </c>
      <c r="K62" s="926">
        <f>OFFSET(Calculations!$G$805,0,K$1)-K61</f>
        <v>213921.54642033752</v>
      </c>
      <c r="L62" s="926">
        <f>OFFSET(Calculations!$G$805,0,L$1)-L61</f>
        <v>205686.79321228538</v>
      </c>
      <c r="M62" s="926">
        <f>OFFSET(Calculations!$G$805,0,M$1)-M61</f>
        <v>1416703.0061200284</v>
      </c>
      <c r="N62" s="926">
        <f>OFFSET(Calculations!$G$805,0,N$1)-N61</f>
        <v>3363970.1169320135</v>
      </c>
      <c r="O62" s="926">
        <f>OFFSET(Calculations!$G$805,0,O$1)-O61</f>
        <v>6212950.5151766948</v>
      </c>
      <c r="P62" s="926">
        <f>OFFSET(Calculations!$G$805,0,P$1)-P61</f>
        <v>10143400.393651428</v>
      </c>
      <c r="Q62" s="926">
        <f>OFFSET(Calculations!$G$805,0,Q$1)-Q61</f>
        <v>15397300.912751727</v>
      </c>
      <c r="R62" s="282"/>
    </row>
    <row r="63" spans="1:18" ht="12.75" customHeight="1" x14ac:dyDescent="0.35">
      <c r="A63" s="911" t="s">
        <v>839</v>
      </c>
      <c r="B63" s="911"/>
      <c r="C63" s="927" t="s">
        <v>2007</v>
      </c>
      <c r="D63" s="927"/>
      <c r="E63" s="927"/>
      <c r="F63" s="927"/>
      <c r="G63" s="927"/>
      <c r="H63" s="928">
        <f t="shared" ref="H63:Q63" si="45">H61+H62</f>
        <v>0</v>
      </c>
      <c r="I63" s="928">
        <f t="shared" si="45"/>
        <v>81833.333333333328</v>
      </c>
      <c r="J63" s="928">
        <f t="shared" ref="J63" si="46">J61+J62</f>
        <v>146001.91508861113</v>
      </c>
      <c r="K63" s="928">
        <f t="shared" ref="K63" si="47">K61+K62</f>
        <v>213921.54642033752</v>
      </c>
      <c r="L63" s="928">
        <f t="shared" ref="L63" si="48">L61+L62</f>
        <v>205686.79321228538</v>
      </c>
      <c r="M63" s="928">
        <f t="shared" ref="M63" si="49">M61+M62</f>
        <v>1416703.0061200284</v>
      </c>
      <c r="N63" s="928">
        <f t="shared" si="45"/>
        <v>3363970.1169320135</v>
      </c>
      <c r="O63" s="928">
        <f t="shared" si="45"/>
        <v>6212950.5151766948</v>
      </c>
      <c r="P63" s="928">
        <f t="shared" si="45"/>
        <v>10143400.393651428</v>
      </c>
      <c r="Q63" s="928">
        <f t="shared" si="45"/>
        <v>15397300.912751727</v>
      </c>
      <c r="R63" s="925"/>
    </row>
    <row r="64" spans="1:18" ht="12.75" customHeight="1" x14ac:dyDescent="0.35">
      <c r="A64" s="921" t="s">
        <v>846</v>
      </c>
      <c r="B64" s="921"/>
      <c r="C64" s="286" t="s">
        <v>885</v>
      </c>
      <c r="D64" s="282"/>
      <c r="E64" s="282"/>
      <c r="F64" s="282"/>
      <c r="G64" s="282"/>
      <c r="H64" s="926">
        <f>Calculations!$G$808+Calculations!$G$831</f>
        <v>0</v>
      </c>
      <c r="I64" s="926">
        <f>OFFSET(Calculations!$G$808,0,I$1)+OFFSET(Calculations!$G$831,0,I$1)</f>
        <v>0</v>
      </c>
      <c r="J64" s="926">
        <f>OFFSET(Calculations!$G$808,0,J$1)+OFFSET(Calculations!$G$831,0,J$1)</f>
        <v>0</v>
      </c>
      <c r="K64" s="926">
        <f>OFFSET(Calculations!$G$808,0,K$1)+OFFSET(Calculations!$G$831,0,K$1)</f>
        <v>0</v>
      </c>
      <c r="L64" s="926">
        <f>OFFSET(Calculations!$G$808,0,L$1)+OFFSET(Calculations!$G$831,0,L$1)</f>
        <v>0</v>
      </c>
      <c r="M64" s="926">
        <f>OFFSET(Calculations!$G$808,0,M$1)+OFFSET(Calculations!$G$831,0,M$1)</f>
        <v>0</v>
      </c>
      <c r="N64" s="926">
        <f>OFFSET(Calculations!$G$808,0,N$1)+OFFSET(Calculations!$G$831,0,N$1)</f>
        <v>0</v>
      </c>
      <c r="O64" s="926">
        <f>OFFSET(Calculations!$G$808,0,O$1)+OFFSET(Calculations!$G$831,0,O$1)</f>
        <v>0</v>
      </c>
      <c r="P64" s="926">
        <f>OFFSET(Calculations!$G$808,0,P$1)+OFFSET(Calculations!$G$831,0,P$1)</f>
        <v>0</v>
      </c>
      <c r="Q64" s="926">
        <f>OFFSET(Calculations!$G$808,0,Q$1)+OFFSET(Calculations!$G$831,0,Q$1)</f>
        <v>0</v>
      </c>
      <c r="R64" s="282"/>
    </row>
    <row r="65" spans="1:18" ht="12.75" customHeight="1" x14ac:dyDescent="0.35">
      <c r="A65" s="911" t="s">
        <v>851</v>
      </c>
      <c r="B65" s="911"/>
      <c r="C65" s="927" t="s">
        <v>2008</v>
      </c>
      <c r="D65" s="940"/>
      <c r="E65" s="940"/>
      <c r="F65" s="940"/>
      <c r="G65" s="940"/>
      <c r="H65" s="928">
        <f t="shared" ref="H65:Q65" si="50">H63+H64</f>
        <v>0</v>
      </c>
      <c r="I65" s="928">
        <f t="shared" si="50"/>
        <v>81833.333333333328</v>
      </c>
      <c r="J65" s="928">
        <f t="shared" ref="J65" si="51">J63+J64</f>
        <v>146001.91508861113</v>
      </c>
      <c r="K65" s="928">
        <f t="shared" ref="K65" si="52">K63+K64</f>
        <v>213921.54642033752</v>
      </c>
      <c r="L65" s="928">
        <f t="shared" ref="L65" si="53">L63+L64</f>
        <v>205686.79321228538</v>
      </c>
      <c r="M65" s="928">
        <f t="shared" ref="M65" si="54">M63+M64</f>
        <v>1416703.0061200284</v>
      </c>
      <c r="N65" s="928">
        <f t="shared" si="50"/>
        <v>3363970.1169320135</v>
      </c>
      <c r="O65" s="928">
        <f t="shared" si="50"/>
        <v>6212950.5151766948</v>
      </c>
      <c r="P65" s="928">
        <f t="shared" si="50"/>
        <v>10143400.393651428</v>
      </c>
      <c r="Q65" s="928">
        <f t="shared" si="50"/>
        <v>15397300.912751727</v>
      </c>
      <c r="R65" s="282"/>
    </row>
    <row r="66" spans="1:18" ht="6" customHeight="1" x14ac:dyDescent="0.35">
      <c r="A66" s="921" t="s">
        <v>2009</v>
      </c>
      <c r="B66" s="921"/>
      <c r="C66" s="921"/>
      <c r="D66" s="282"/>
      <c r="E66" s="282"/>
      <c r="F66" s="282"/>
      <c r="G66" s="282"/>
      <c r="H66" s="941"/>
      <c r="I66" s="941"/>
      <c r="J66" s="941"/>
      <c r="K66" s="941"/>
      <c r="L66" s="941"/>
      <c r="M66" s="941"/>
      <c r="N66" s="941"/>
      <c r="O66" s="941"/>
      <c r="P66" s="941"/>
      <c r="Q66" s="941"/>
      <c r="R66" s="282"/>
    </row>
    <row r="67" spans="1:18" ht="12.75" customHeight="1" x14ac:dyDescent="0.35">
      <c r="A67" s="911" t="s">
        <v>859</v>
      </c>
      <c r="B67" s="911"/>
      <c r="C67" s="921" t="s">
        <v>2010</v>
      </c>
      <c r="D67" s="925"/>
      <c r="E67" s="925"/>
      <c r="F67" s="925"/>
      <c r="G67" s="925"/>
      <c r="H67" s="925"/>
      <c r="I67" s="925"/>
      <c r="J67" s="925"/>
      <c r="K67" s="925"/>
      <c r="L67" s="925"/>
      <c r="M67" s="925"/>
      <c r="N67" s="925"/>
      <c r="O67" s="925"/>
      <c r="P67" s="925"/>
      <c r="Q67" s="925"/>
      <c r="R67" s="925"/>
    </row>
    <row r="68" spans="1:18" ht="12.75" customHeight="1" x14ac:dyDescent="0.35">
      <c r="A68" s="921" t="s">
        <v>868</v>
      </c>
      <c r="B68" s="921"/>
      <c r="C68" s="921" t="s">
        <v>2011</v>
      </c>
      <c r="D68" s="282"/>
      <c r="E68" s="282"/>
      <c r="F68" s="282"/>
      <c r="G68" s="282"/>
      <c r="H68" s="282"/>
      <c r="I68" s="282"/>
      <c r="J68" s="282"/>
      <c r="K68" s="282"/>
      <c r="L68" s="282"/>
      <c r="M68" s="282"/>
      <c r="N68" s="282"/>
      <c r="O68" s="282"/>
      <c r="P68" s="282"/>
      <c r="Q68" s="282"/>
      <c r="R68" s="282"/>
    </row>
    <row r="69" spans="1:18" ht="12.75" customHeight="1" x14ac:dyDescent="0.35">
      <c r="A69" s="911" t="s">
        <v>872</v>
      </c>
      <c r="B69" s="911"/>
      <c r="C69" s="286" t="s">
        <v>2012</v>
      </c>
      <c r="D69" s="282"/>
      <c r="E69" s="282"/>
      <c r="F69" s="282"/>
      <c r="G69" s="282"/>
      <c r="H69" s="926">
        <f>Calculations!$G$811+Calculations!$G$812+Calculations!$G$833</f>
        <v>0</v>
      </c>
      <c r="I69" s="926">
        <f>OFFSET(Calculations!$G$811,0,I$1)+OFFSET(Calculations!$G$812,0,I$1)+OFFSET(Calculations!$G$833,0,I$1)</f>
        <v>0</v>
      </c>
      <c r="J69" s="926">
        <f>OFFSET(Calculations!$G$811,0,J$1)+OFFSET(Calculations!$G$812,0,J$1)+OFFSET(Calculations!$G$833,0,J$1)</f>
        <v>0</v>
      </c>
      <c r="K69" s="926">
        <f>OFFSET(Calculations!$G$811,0,K$1)+OFFSET(Calculations!$G$812,0,K$1)+OFFSET(Calculations!$G$833,0,K$1)</f>
        <v>0</v>
      </c>
      <c r="L69" s="926">
        <f>OFFSET(Calculations!$G$811,0,L$1)+OFFSET(Calculations!$G$812,0,L$1)+OFFSET(Calculations!$G$833,0,L$1)</f>
        <v>0</v>
      </c>
      <c r="M69" s="926">
        <f>OFFSET(Calculations!$G$811,0,M$1)+OFFSET(Calculations!$G$812,0,M$1)+OFFSET(Calculations!$G$833,0,M$1)</f>
        <v>0</v>
      </c>
      <c r="N69" s="926">
        <f>OFFSET(Calculations!$G$811,0,N$1)+OFFSET(Calculations!$G$812,0,N$1)+OFFSET(Calculations!$G$833,0,N$1)</f>
        <v>0</v>
      </c>
      <c r="O69" s="926">
        <f>OFFSET(Calculations!$G$811,0,O$1)+OFFSET(Calculations!$G$812,0,O$1)+OFFSET(Calculations!$G$833,0,O$1)</f>
        <v>0</v>
      </c>
      <c r="P69" s="926">
        <f>OFFSET(Calculations!$G$811,0,P$1)+OFFSET(Calculations!$G$812,0,P$1)+OFFSET(Calculations!$G$833,0,P$1)</f>
        <v>0</v>
      </c>
      <c r="Q69" s="926">
        <f>OFFSET(Calculations!$G$811,0,Q$1)+OFFSET(Calculations!$G$812,0,Q$1)+OFFSET(Calculations!$G$833,0,Q$1)</f>
        <v>0</v>
      </c>
      <c r="R69" s="282"/>
    </row>
    <row r="70" spans="1:18" ht="12.75" customHeight="1" x14ac:dyDescent="0.35">
      <c r="A70" s="921" t="s">
        <v>2013</v>
      </c>
      <c r="B70" s="921"/>
      <c r="C70" s="286" t="s">
        <v>1233</v>
      </c>
      <c r="D70" s="282"/>
      <c r="E70" s="282"/>
      <c r="F70" s="282"/>
      <c r="G70" s="282"/>
      <c r="H70" s="926">
        <f>Calculations!$G$814+Calculations!$G$832</f>
        <v>0</v>
      </c>
      <c r="I70" s="926">
        <f>OFFSET(Calculations!$G$814,0,I$1)+OFFSET(Calculations!$G$832,0,I$1)</f>
        <v>0</v>
      </c>
      <c r="J70" s="926">
        <f>OFFSET(Calculations!$G$814,0,J$1)+OFFSET(Calculations!$G$832,0,J$1)</f>
        <v>0</v>
      </c>
      <c r="K70" s="926">
        <f>OFFSET(Calculations!$G$814,0,K$1)+OFFSET(Calculations!$G$832,0,K$1)</f>
        <v>0</v>
      </c>
      <c r="L70" s="926">
        <f>OFFSET(Calculations!$G$814,0,L$1)+OFFSET(Calculations!$G$832,0,L$1)</f>
        <v>0</v>
      </c>
      <c r="M70" s="926">
        <f>OFFSET(Calculations!$G$814,0,M$1)+OFFSET(Calculations!$G$832,0,M$1)</f>
        <v>0</v>
      </c>
      <c r="N70" s="926">
        <f>OFFSET(Calculations!$G$814,0,N$1)+OFFSET(Calculations!$G$832,0,N$1)</f>
        <v>0</v>
      </c>
      <c r="O70" s="926">
        <f>OFFSET(Calculations!$G$814,0,O$1)+OFFSET(Calculations!$G$832,0,O$1)</f>
        <v>0</v>
      </c>
      <c r="P70" s="926">
        <f>OFFSET(Calculations!$G$814,0,P$1)+OFFSET(Calculations!$G$832,0,P$1)</f>
        <v>0</v>
      </c>
      <c r="Q70" s="926">
        <f>OFFSET(Calculations!$G$814,0,Q$1)+OFFSET(Calculations!$G$832,0,Q$1)</f>
        <v>0</v>
      </c>
      <c r="R70" s="282"/>
    </row>
    <row r="71" spans="1:18" ht="12.75" customHeight="1" x14ac:dyDescent="0.35">
      <c r="A71" s="911" t="s">
        <v>2014</v>
      </c>
      <c r="B71" s="911"/>
      <c r="C71" s="286" t="s">
        <v>1222</v>
      </c>
      <c r="D71" s="282"/>
      <c r="E71" s="282"/>
      <c r="F71" s="282"/>
      <c r="G71" s="282"/>
      <c r="H71" s="926">
        <f>Calculations!$G$806+Calculations!$G$807</f>
        <v>0</v>
      </c>
      <c r="I71" s="926">
        <f>OFFSET(Calculations!$G$806,0,I$1)+OFFSET(Calculations!$G$807,0,I$1)</f>
        <v>0</v>
      </c>
      <c r="J71" s="926">
        <f>OFFSET(Calculations!$G$806,0,J$1)+OFFSET(Calculations!$G$807,0,J$1)</f>
        <v>0</v>
      </c>
      <c r="K71" s="926">
        <f>OFFSET(Calculations!$G$806,0,K$1)+OFFSET(Calculations!$G$807,0,K$1)</f>
        <v>0</v>
      </c>
      <c r="L71" s="926">
        <f>OFFSET(Calculations!$G$806,0,L$1)+OFFSET(Calculations!$G$807,0,L$1)</f>
        <v>0</v>
      </c>
      <c r="M71" s="926">
        <f>OFFSET(Calculations!$G$806,0,M$1)+OFFSET(Calculations!$G$807,0,M$1)</f>
        <v>0</v>
      </c>
      <c r="N71" s="926">
        <f>OFFSET(Calculations!$G$806,0,N$1)+OFFSET(Calculations!$G$807,0,N$1)</f>
        <v>0</v>
      </c>
      <c r="O71" s="926">
        <f>OFFSET(Calculations!$G$806,0,O$1)+OFFSET(Calculations!$G$807,0,O$1)</f>
        <v>0</v>
      </c>
      <c r="P71" s="926">
        <f>OFFSET(Calculations!$G$806,0,P$1)+OFFSET(Calculations!$G$807,0,P$1)</f>
        <v>0</v>
      </c>
      <c r="Q71" s="926">
        <f>OFFSET(Calculations!$G$806,0,Q$1)+OFFSET(Calculations!$G$807,0,Q$1)</f>
        <v>0</v>
      </c>
      <c r="R71" s="282"/>
    </row>
    <row r="72" spans="1:18" ht="12.75" customHeight="1" x14ac:dyDescent="0.35">
      <c r="A72" s="921" t="s">
        <v>882</v>
      </c>
      <c r="B72" s="921"/>
      <c r="C72" s="286" t="s">
        <v>2015</v>
      </c>
      <c r="D72" s="282"/>
      <c r="E72" s="282"/>
      <c r="F72" s="282"/>
      <c r="G72" s="282"/>
      <c r="H72" s="926">
        <f>Calculations!$G$813+Calculations!$G$815</f>
        <v>0</v>
      </c>
      <c r="I72" s="926">
        <f>OFFSET(Calculations!$G$813,0,I$1)+OFFSET(Calculations!$G$815,0,I$1)</f>
        <v>0</v>
      </c>
      <c r="J72" s="926">
        <f>OFFSET(Calculations!$G$813,0,J$1)+OFFSET(Calculations!$G$815,0,J$1)</f>
        <v>0</v>
      </c>
      <c r="K72" s="926">
        <f>OFFSET(Calculations!$G$813,0,K$1)+OFFSET(Calculations!$G$815,0,K$1)</f>
        <v>0</v>
      </c>
      <c r="L72" s="926">
        <f>OFFSET(Calculations!$G$813,0,L$1)+OFFSET(Calculations!$G$815,0,L$1)</f>
        <v>0</v>
      </c>
      <c r="M72" s="926">
        <f>OFFSET(Calculations!$G$813,0,M$1)+OFFSET(Calculations!$G$815,0,M$1)</f>
        <v>0</v>
      </c>
      <c r="N72" s="926">
        <f>OFFSET(Calculations!$G$813,0,N$1)+OFFSET(Calculations!$G$815,0,N$1)</f>
        <v>0</v>
      </c>
      <c r="O72" s="926">
        <f>OFFSET(Calculations!$G$813,0,O$1)+OFFSET(Calculations!$G$815,0,O$1)</f>
        <v>0</v>
      </c>
      <c r="P72" s="926">
        <f>OFFSET(Calculations!$G$813,0,P$1)+OFFSET(Calculations!$G$815,0,P$1)</f>
        <v>0</v>
      </c>
      <c r="Q72" s="926">
        <f>OFFSET(Calculations!$G$813,0,Q$1)+OFFSET(Calculations!$G$815,0,Q$1)</f>
        <v>0</v>
      </c>
      <c r="R72" s="282"/>
    </row>
    <row r="73" spans="1:18" ht="12.75" customHeight="1" x14ac:dyDescent="0.35">
      <c r="A73" s="911" t="s">
        <v>889</v>
      </c>
      <c r="B73" s="911"/>
      <c r="C73" s="927" t="s">
        <v>2016</v>
      </c>
      <c r="D73" s="927"/>
      <c r="E73" s="927"/>
      <c r="F73" s="927"/>
      <c r="G73" s="927"/>
      <c r="H73" s="928">
        <f t="shared" ref="H73:Q73" si="55">SUM(H69:H72)</f>
        <v>0</v>
      </c>
      <c r="I73" s="928">
        <f t="shared" si="55"/>
        <v>0</v>
      </c>
      <c r="J73" s="928">
        <f t="shared" ref="J73" si="56">SUM(J69:J72)</f>
        <v>0</v>
      </c>
      <c r="K73" s="928">
        <f t="shared" ref="K73" si="57">SUM(K69:K72)</f>
        <v>0</v>
      </c>
      <c r="L73" s="928">
        <f t="shared" ref="L73" si="58">SUM(L69:L72)</f>
        <v>0</v>
      </c>
      <c r="M73" s="928">
        <f t="shared" ref="M73" si="59">SUM(M69:M72)</f>
        <v>0</v>
      </c>
      <c r="N73" s="928">
        <f t="shared" si="55"/>
        <v>0</v>
      </c>
      <c r="O73" s="928">
        <f t="shared" si="55"/>
        <v>0</v>
      </c>
      <c r="P73" s="928">
        <f t="shared" si="55"/>
        <v>0</v>
      </c>
      <c r="Q73" s="928">
        <f t="shared" si="55"/>
        <v>0</v>
      </c>
      <c r="R73" s="282"/>
    </row>
    <row r="74" spans="1:18" ht="6" customHeight="1" x14ac:dyDescent="0.35">
      <c r="A74" s="921" t="s">
        <v>1464</v>
      </c>
      <c r="B74" s="921"/>
      <c r="C74" s="911"/>
      <c r="D74" s="282"/>
      <c r="E74" s="282"/>
      <c r="F74" s="282"/>
      <c r="G74" s="282"/>
      <c r="H74" s="282"/>
      <c r="I74" s="282"/>
      <c r="J74" s="282"/>
      <c r="K74" s="282"/>
      <c r="L74" s="282"/>
      <c r="M74" s="282"/>
      <c r="N74" s="282"/>
      <c r="O74" s="282"/>
      <c r="P74" s="282"/>
      <c r="Q74" s="282"/>
      <c r="R74" s="282"/>
    </row>
    <row r="75" spans="1:18" ht="12.75" customHeight="1" x14ac:dyDescent="0.35">
      <c r="A75" s="911" t="s">
        <v>1466</v>
      </c>
      <c r="B75" s="911"/>
      <c r="C75" s="921" t="s">
        <v>968</v>
      </c>
      <c r="D75" s="282"/>
      <c r="E75" s="282"/>
      <c r="F75" s="282"/>
      <c r="G75" s="282"/>
      <c r="H75" s="282"/>
      <c r="I75" s="282"/>
      <c r="J75" s="282"/>
      <c r="K75" s="282"/>
      <c r="L75" s="282"/>
      <c r="M75" s="282"/>
      <c r="N75" s="282"/>
      <c r="O75" s="282"/>
      <c r="P75" s="282"/>
      <c r="Q75" s="282"/>
      <c r="R75" s="282"/>
    </row>
    <row r="76" spans="1:18" ht="12.75" customHeight="1" x14ac:dyDescent="0.35">
      <c r="A76" s="921" t="s">
        <v>2017</v>
      </c>
      <c r="B76" s="921"/>
      <c r="C76" s="911" t="s">
        <v>2012</v>
      </c>
      <c r="D76" s="282"/>
      <c r="E76" s="282"/>
      <c r="F76" s="282"/>
      <c r="G76" s="282"/>
      <c r="H76" s="926">
        <f>Calculations!$G$817+Calculations!$G$834</f>
        <v>0</v>
      </c>
      <c r="I76" s="926">
        <f>OFFSET(Calculations!$G$817,0,I$1)+OFFSET(Calculations!$G$834,0,I$1)</f>
        <v>0</v>
      </c>
      <c r="J76" s="926">
        <f>OFFSET(Calculations!$G$817,0,J$1)+OFFSET(Calculations!$G$834,0,J$1)</f>
        <v>0</v>
      </c>
      <c r="K76" s="926">
        <f>OFFSET(Calculations!$G$817,0,K$1)+OFFSET(Calculations!$G$834,0,K$1)</f>
        <v>0</v>
      </c>
      <c r="L76" s="926">
        <f>OFFSET(Calculations!$G$817,0,L$1)+OFFSET(Calculations!$G$834,0,L$1)</f>
        <v>0</v>
      </c>
      <c r="M76" s="926">
        <f>OFFSET(Calculations!$G$817,0,M$1)+OFFSET(Calculations!$G$834,0,M$1)</f>
        <v>0</v>
      </c>
      <c r="N76" s="926">
        <f>OFFSET(Calculations!$G$817,0,N$1)+OFFSET(Calculations!$G$834,0,N$1)</f>
        <v>0</v>
      </c>
      <c r="O76" s="926">
        <f>OFFSET(Calculations!$G$817,0,O$1)+OFFSET(Calculations!$G$834,0,O$1)</f>
        <v>0</v>
      </c>
      <c r="P76" s="926">
        <f>OFFSET(Calculations!$G$817,0,P$1)+OFFSET(Calculations!$G$834,0,P$1)</f>
        <v>0</v>
      </c>
      <c r="Q76" s="926">
        <f>OFFSET(Calculations!$G$817,0,Q$1)+OFFSET(Calculations!$G$834,0,Q$1)</f>
        <v>0</v>
      </c>
      <c r="R76" s="282"/>
    </row>
    <row r="77" spans="1:18" ht="12.75" customHeight="1" x14ac:dyDescent="0.35">
      <c r="A77" s="911" t="s">
        <v>2018</v>
      </c>
      <c r="B77" s="911"/>
      <c r="C77" s="911" t="s">
        <v>2019</v>
      </c>
      <c r="D77" s="282"/>
      <c r="E77" s="282"/>
      <c r="F77" s="282"/>
      <c r="G77" s="282"/>
      <c r="H77" s="926">
        <f>Calculations!$G$826</f>
        <v>0</v>
      </c>
      <c r="I77" s="926">
        <f>OFFSET(Calculations!$G$826,0,I$1)</f>
        <v>0</v>
      </c>
      <c r="J77" s="926">
        <f>OFFSET(Calculations!$G$826,0,J$1)</f>
        <v>0</v>
      </c>
      <c r="K77" s="926">
        <f>OFFSET(Calculations!$G$826,0,K$1)</f>
        <v>0</v>
      </c>
      <c r="L77" s="926">
        <f>OFFSET(Calculations!$G$826,0,L$1)</f>
        <v>0</v>
      </c>
      <c r="M77" s="926">
        <f>OFFSET(Calculations!$G$826,0,M$1)</f>
        <v>0</v>
      </c>
      <c r="N77" s="926">
        <f>OFFSET(Calculations!$G$826,0,N$1)</f>
        <v>0</v>
      </c>
      <c r="O77" s="926">
        <f>OFFSET(Calculations!$G$826,0,O$1)</f>
        <v>0</v>
      </c>
      <c r="P77" s="926">
        <f>OFFSET(Calculations!$G$826,0,P$1)</f>
        <v>0</v>
      </c>
      <c r="Q77" s="926">
        <f>OFFSET(Calculations!$G$826,0,Q$1)</f>
        <v>0</v>
      </c>
      <c r="R77" s="282"/>
    </row>
    <row r="78" spans="1:18" ht="12.75" customHeight="1" x14ac:dyDescent="0.35">
      <c r="A78" s="921" t="s">
        <v>2020</v>
      </c>
      <c r="B78" s="921"/>
      <c r="C78" s="911" t="s">
        <v>2021</v>
      </c>
      <c r="D78" s="282"/>
      <c r="E78" s="282"/>
      <c r="F78" s="282"/>
      <c r="G78" s="282"/>
      <c r="H78" s="926">
        <f>Calculations!$G$821+Calculations!$G$822+Calculations!$G$823+Calculations!$G$824+Calculations!$G$825</f>
        <v>0</v>
      </c>
      <c r="I78" s="926">
        <f>OFFSET(Calculations!$G$821,0,I$1)+OFFSET(Calculations!$G$822,0,I$1)+OFFSET(Calculations!$G$823,0,I$1)+OFFSET(Calculations!$G$824,0,I$1)+OFFSET(Calculations!$G$825,0,I$1)</f>
        <v>485099.99999999994</v>
      </c>
      <c r="J78" s="926">
        <f>OFFSET(Calculations!$G$821,0,J$1)+OFFSET(Calculations!$G$822,0,J$1)+OFFSET(Calculations!$G$823,0,J$1)+OFFSET(Calculations!$G$824,0,J$1)+OFFSET(Calculations!$G$825,0,J$1)</f>
        <v>493373.64729977155</v>
      </c>
      <c r="K78" s="926">
        <f>OFFSET(Calculations!$G$821,0,K$1)+OFFSET(Calculations!$G$822,0,K$1)+OFFSET(Calculations!$G$823,0,K$1)+OFFSET(Calculations!$G$824,0,K$1)+OFFSET(Calculations!$G$825,0,K$1)</f>
        <v>501788.40620465769</v>
      </c>
      <c r="L78" s="926">
        <f>OFFSET(Calculations!$G$821,0,L$1)+OFFSET(Calculations!$G$822,0,L$1)+OFFSET(Calculations!$G$823,0,L$1)+OFFSET(Calculations!$G$824,0,L$1)+OFFSET(Calculations!$G$825,0,L$1)</f>
        <v>510346.68345069321</v>
      </c>
      <c r="M78" s="926">
        <f>OFFSET(Calculations!$G$821,0,M$1)+OFFSET(Calculations!$G$822,0,M$1)+OFFSET(Calculations!$G$823,0,M$1)+OFFSET(Calculations!$G$824,0,M$1)+OFFSET(Calculations!$G$825,0,M$1)</f>
        <v>625174.6872270992</v>
      </c>
      <c r="N78" s="926">
        <f>OFFSET(Calculations!$G$821,0,N$1)+OFFSET(Calculations!$G$822,0,N$1)+OFFSET(Calculations!$G$823,0,N$1)+OFFSET(Calculations!$G$824,0,N$1)+OFFSET(Calculations!$G$825,0,N$1)</f>
        <v>765838.99185319629</v>
      </c>
      <c r="O78" s="926">
        <f>OFFSET(Calculations!$G$821,0,O$1)+OFFSET(Calculations!$G$822,0,O$1)+OFFSET(Calculations!$G$823,0,O$1)+OFFSET(Calculations!$G$824,0,O$1)+OFFSET(Calculations!$G$825,0,O$1)</f>
        <v>938152.76502016559</v>
      </c>
      <c r="P78" s="926">
        <f>OFFSET(Calculations!$G$821,0,P$1)+OFFSET(Calculations!$G$822,0,P$1)+OFFSET(Calculations!$G$823,0,P$1)+OFFSET(Calculations!$G$824,0,P$1)+OFFSET(Calculations!$G$825,0,P$1)</f>
        <v>1149237.1371497028</v>
      </c>
      <c r="Q78" s="926">
        <f>OFFSET(Calculations!$G$821,0,Q$1)+OFFSET(Calculations!$G$822,0,Q$1)+OFFSET(Calculations!$G$823,0,Q$1)+OFFSET(Calculations!$G$824,0,Q$1)+OFFSET(Calculations!$G$825,0,Q$1)</f>
        <v>1407815.4930083861</v>
      </c>
      <c r="R78" s="282"/>
    </row>
    <row r="79" spans="1:18" ht="12.75" customHeight="1" x14ac:dyDescent="0.35">
      <c r="A79" s="911" t="s">
        <v>2022</v>
      </c>
      <c r="B79" s="911"/>
      <c r="C79" s="927" t="s">
        <v>2023</v>
      </c>
      <c r="D79" s="927"/>
      <c r="E79" s="927"/>
      <c r="F79" s="927"/>
      <c r="G79" s="927"/>
      <c r="H79" s="928">
        <f t="shared" ref="H79:Q79" si="60">SUM(H76:H78)</f>
        <v>0</v>
      </c>
      <c r="I79" s="928">
        <f t="shared" si="60"/>
        <v>485099.99999999994</v>
      </c>
      <c r="J79" s="928">
        <f t="shared" ref="J79" si="61">SUM(J76:J78)</f>
        <v>493373.64729977155</v>
      </c>
      <c r="K79" s="928">
        <f t="shared" ref="K79" si="62">SUM(K76:K78)</f>
        <v>501788.40620465769</v>
      </c>
      <c r="L79" s="928">
        <f t="shared" ref="L79" si="63">SUM(L76:L78)</f>
        <v>510346.68345069321</v>
      </c>
      <c r="M79" s="928">
        <f t="shared" ref="M79" si="64">SUM(M76:M78)</f>
        <v>625174.6872270992</v>
      </c>
      <c r="N79" s="928">
        <f t="shared" si="60"/>
        <v>765838.99185319629</v>
      </c>
      <c r="O79" s="928">
        <f t="shared" si="60"/>
        <v>938152.76502016559</v>
      </c>
      <c r="P79" s="928">
        <f t="shared" si="60"/>
        <v>1149237.1371497028</v>
      </c>
      <c r="Q79" s="928">
        <f t="shared" si="60"/>
        <v>1407815.4930083861</v>
      </c>
      <c r="R79" s="925"/>
    </row>
    <row r="80" spans="1:18" ht="6" customHeight="1" x14ac:dyDescent="0.35">
      <c r="A80" s="921" t="s">
        <v>2024</v>
      </c>
      <c r="B80" s="921"/>
      <c r="C80" s="911"/>
      <c r="D80" s="282"/>
      <c r="E80" s="282"/>
      <c r="F80" s="282"/>
      <c r="G80" s="282"/>
      <c r="H80" s="282"/>
      <c r="I80" s="282"/>
      <c r="J80" s="282"/>
      <c r="K80" s="282"/>
      <c r="L80" s="282"/>
      <c r="M80" s="282"/>
      <c r="N80" s="282"/>
      <c r="O80" s="282"/>
      <c r="P80" s="282"/>
      <c r="Q80" s="282"/>
      <c r="R80" s="282"/>
    </row>
    <row r="81" spans="1:18" ht="12.75" customHeight="1" x14ac:dyDescent="0.35">
      <c r="A81" s="911" t="s">
        <v>2025</v>
      </c>
      <c r="B81" s="911"/>
      <c r="C81" s="927" t="s">
        <v>1254</v>
      </c>
      <c r="D81" s="927"/>
      <c r="E81" s="927"/>
      <c r="F81" s="927"/>
      <c r="G81" s="927"/>
      <c r="H81" s="928">
        <f t="shared" ref="H81:Q81" si="65">H73+H79</f>
        <v>0</v>
      </c>
      <c r="I81" s="928">
        <f t="shared" si="65"/>
        <v>485099.99999999994</v>
      </c>
      <c r="J81" s="928">
        <f t="shared" ref="J81" si="66">J73+J79</f>
        <v>493373.64729977155</v>
      </c>
      <c r="K81" s="928">
        <f t="shared" ref="K81" si="67">K73+K79</f>
        <v>501788.40620465769</v>
      </c>
      <c r="L81" s="928">
        <f t="shared" ref="L81" si="68">L73+L79</f>
        <v>510346.68345069321</v>
      </c>
      <c r="M81" s="928">
        <f t="shared" ref="M81" si="69">M73+M79</f>
        <v>625174.6872270992</v>
      </c>
      <c r="N81" s="928">
        <f t="shared" si="65"/>
        <v>765838.99185319629</v>
      </c>
      <c r="O81" s="928">
        <f t="shared" si="65"/>
        <v>938152.76502016559</v>
      </c>
      <c r="P81" s="928">
        <f t="shared" si="65"/>
        <v>1149237.1371497028</v>
      </c>
      <c r="Q81" s="928">
        <f t="shared" si="65"/>
        <v>1407815.4930083861</v>
      </c>
      <c r="R81" s="925"/>
    </row>
    <row r="82" spans="1:18" ht="6" customHeight="1" x14ac:dyDescent="0.35">
      <c r="A82" s="921" t="s">
        <v>2026</v>
      </c>
      <c r="B82" s="921"/>
      <c r="C82" s="921"/>
      <c r="D82" s="282"/>
      <c r="E82" s="282"/>
      <c r="F82" s="282"/>
      <c r="G82" s="282"/>
      <c r="H82" s="282"/>
      <c r="I82" s="282"/>
      <c r="J82" s="282"/>
      <c r="K82" s="282"/>
      <c r="L82" s="282"/>
      <c r="M82" s="282"/>
      <c r="N82" s="282"/>
      <c r="O82" s="282"/>
      <c r="P82" s="282"/>
      <c r="Q82" s="282"/>
      <c r="R82" s="282"/>
    </row>
    <row r="83" spans="1:18" ht="13.5" customHeight="1" thickBot="1" x14ac:dyDescent="0.4">
      <c r="A83" s="911" t="s">
        <v>2027</v>
      </c>
      <c r="B83" s="911"/>
      <c r="C83" s="938" t="s">
        <v>2028</v>
      </c>
      <c r="D83" s="938"/>
      <c r="E83" s="938"/>
      <c r="F83" s="938"/>
      <c r="G83" s="938"/>
      <c r="H83" s="939">
        <f t="shared" ref="H83:Q83" si="70">H65+H81</f>
        <v>0</v>
      </c>
      <c r="I83" s="939">
        <f t="shared" si="70"/>
        <v>566933.33333333326</v>
      </c>
      <c r="J83" s="939">
        <f t="shared" ref="J83" si="71">J65+J81</f>
        <v>639375.56238838262</v>
      </c>
      <c r="K83" s="939">
        <f t="shared" ref="K83" si="72">K65+K81</f>
        <v>715709.95262499526</v>
      </c>
      <c r="L83" s="939">
        <f t="shared" ref="L83" si="73">L65+L81</f>
        <v>716033.47666297853</v>
      </c>
      <c r="M83" s="939">
        <f t="shared" ref="M83" si="74">M65+M81</f>
        <v>2041877.6933471276</v>
      </c>
      <c r="N83" s="939">
        <f t="shared" si="70"/>
        <v>4129809.1087852097</v>
      </c>
      <c r="O83" s="939">
        <f t="shared" si="70"/>
        <v>7151103.2801968604</v>
      </c>
      <c r="P83" s="939">
        <f t="shared" si="70"/>
        <v>11292637.53080113</v>
      </c>
      <c r="Q83" s="939">
        <f t="shared" si="70"/>
        <v>16805116.405760113</v>
      </c>
      <c r="R83" s="925"/>
    </row>
    <row r="84" spans="1:18" ht="20.149999999999999" customHeight="1" thickTop="1" x14ac:dyDescent="0.35">
      <c r="A84" s="921" t="s">
        <v>2029</v>
      </c>
      <c r="B84" s="921"/>
      <c r="C84" s="919" t="str">
        <f>$C$5</f>
        <v>Alpha Machine 37</v>
      </c>
      <c r="D84" s="282"/>
      <c r="E84" s="282"/>
      <c r="F84" s="282"/>
      <c r="G84" s="920" t="str">
        <f>$G$5</f>
        <v xml:space="preserve"> Euro</v>
      </c>
      <c r="H84" s="282"/>
      <c r="I84" s="282"/>
      <c r="J84" s="282"/>
      <c r="K84" s="282"/>
      <c r="L84" s="282"/>
      <c r="M84" s="282"/>
      <c r="N84" s="282"/>
      <c r="O84" s="282"/>
      <c r="P84" s="282"/>
      <c r="Q84" s="282"/>
      <c r="R84" s="282"/>
    </row>
    <row r="85" spans="1:18" ht="18" customHeight="1" x14ac:dyDescent="0.4">
      <c r="A85" s="911" t="s">
        <v>2030</v>
      </c>
      <c r="B85" s="911"/>
      <c r="C85" s="922" t="s">
        <v>5168</v>
      </c>
      <c r="D85" s="923"/>
      <c r="E85" s="923"/>
      <c r="F85" s="923"/>
      <c r="G85" s="924"/>
      <c r="H85" s="924" t="str">
        <f t="shared" ref="H85:Q85" si="75">H$6</f>
        <v>9/2017</v>
      </c>
      <c r="I85" s="924" t="str">
        <f t="shared" si="75"/>
        <v>9/2017</v>
      </c>
      <c r="J85" s="924" t="str">
        <f t="shared" si="75"/>
        <v>10/2017</v>
      </c>
      <c r="K85" s="924" t="str">
        <f t="shared" si="75"/>
        <v>11/2017</v>
      </c>
      <c r="L85" s="924" t="str">
        <f t="shared" si="75"/>
        <v>12/2017</v>
      </c>
      <c r="M85" s="924" t="str">
        <f t="shared" si="75"/>
        <v>12/2018</v>
      </c>
      <c r="N85" s="924" t="str">
        <f t="shared" si="75"/>
        <v>12/2019</v>
      </c>
      <c r="O85" s="924" t="str">
        <f t="shared" si="75"/>
        <v>12/2020</v>
      </c>
      <c r="P85" s="924" t="str">
        <f t="shared" si="75"/>
        <v>12/2021</v>
      </c>
      <c r="Q85" s="924" t="str">
        <f t="shared" si="75"/>
        <v>12/2022</v>
      </c>
      <c r="R85" s="925"/>
    </row>
    <row r="86" spans="1:18" ht="6" customHeight="1" x14ac:dyDescent="0.35">
      <c r="A86" s="921" t="s">
        <v>2031</v>
      </c>
      <c r="B86" s="921"/>
      <c r="C86" s="911"/>
      <c r="D86" s="282"/>
      <c r="E86" s="282"/>
      <c r="F86" s="282"/>
      <c r="G86" s="282"/>
      <c r="H86" s="282"/>
      <c r="I86" s="282"/>
      <c r="J86" s="282"/>
      <c r="K86" s="282"/>
      <c r="L86" s="282"/>
      <c r="M86" s="282"/>
      <c r="N86" s="282"/>
      <c r="O86" s="282"/>
      <c r="P86" s="282"/>
      <c r="Q86" s="282"/>
      <c r="R86" s="282"/>
    </row>
    <row r="87" spans="1:18" ht="12.75" customHeight="1" x14ac:dyDescent="0.35">
      <c r="A87" s="911" t="s">
        <v>2032</v>
      </c>
      <c r="B87" s="911"/>
      <c r="C87" s="942" t="s">
        <v>2033</v>
      </c>
      <c r="D87" s="925"/>
      <c r="E87" s="925"/>
      <c r="F87" s="925"/>
      <c r="G87" s="925"/>
      <c r="H87" s="925"/>
      <c r="I87" s="925"/>
      <c r="J87" s="925"/>
      <c r="K87" s="925"/>
      <c r="L87" s="925"/>
      <c r="M87" s="925"/>
      <c r="N87" s="925"/>
      <c r="O87" s="925"/>
      <c r="P87" s="925"/>
      <c r="Q87" s="925"/>
      <c r="R87" s="925"/>
    </row>
    <row r="88" spans="1:18" ht="12.75" customHeight="1" x14ac:dyDescent="0.35">
      <c r="A88" s="921" t="s">
        <v>2034</v>
      </c>
      <c r="B88" s="921"/>
      <c r="C88" s="921" t="s">
        <v>2035</v>
      </c>
      <c r="D88" s="925"/>
      <c r="E88" s="925"/>
      <c r="F88" s="925"/>
      <c r="G88" s="925"/>
      <c r="H88" s="941">
        <f t="shared" ref="H88:Q88" si="76">H15-H13</f>
        <v>0</v>
      </c>
      <c r="I88" s="941">
        <f t="shared" si="76"/>
        <v>83500</v>
      </c>
      <c r="J88" s="941">
        <f t="shared" ref="J88" si="77">J15-J13</f>
        <v>171835.24842194421</v>
      </c>
      <c r="K88" s="941">
        <f t="shared" ref="K88" si="78">K15-K13</f>
        <v>265088.21308700391</v>
      </c>
      <c r="L88" s="941">
        <f t="shared" ref="L88" si="79">L15-L13</f>
        <v>363342.76835039584</v>
      </c>
      <c r="M88" s="941">
        <f t="shared" ref="M88" si="80">M15-M13</f>
        <v>1984341.9623718653</v>
      </c>
      <c r="N88" s="941">
        <f t="shared" si="76"/>
        <v>2970818.9039055351</v>
      </c>
      <c r="O88" s="941">
        <f t="shared" si="76"/>
        <v>4179253.1572842803</v>
      </c>
      <c r="P88" s="941">
        <f t="shared" si="76"/>
        <v>5659585.1176732406</v>
      </c>
      <c r="Q88" s="941">
        <f t="shared" si="76"/>
        <v>7472991.7691497207</v>
      </c>
      <c r="R88" s="925"/>
    </row>
    <row r="89" spans="1:18" ht="12.75" customHeight="1" x14ac:dyDescent="0.35">
      <c r="A89" s="911" t="s">
        <v>2036</v>
      </c>
      <c r="B89" s="911"/>
      <c r="C89" s="286" t="s">
        <v>2037</v>
      </c>
      <c r="D89" s="282"/>
      <c r="E89" s="282"/>
      <c r="F89" s="282"/>
      <c r="G89" s="282"/>
      <c r="H89" s="282">
        <v>0</v>
      </c>
      <c r="I89" s="282">
        <v>0</v>
      </c>
      <c r="J89" s="282">
        <v>0</v>
      </c>
      <c r="K89" s="282">
        <v>0</v>
      </c>
      <c r="L89" s="282">
        <v>0</v>
      </c>
      <c r="M89" s="282">
        <v>0</v>
      </c>
      <c r="N89" s="282">
        <v>0</v>
      </c>
      <c r="O89" s="282">
        <v>0</v>
      </c>
      <c r="P89" s="282">
        <v>0</v>
      </c>
      <c r="Q89" s="282">
        <v>0</v>
      </c>
      <c r="R89" s="282"/>
    </row>
    <row r="90" spans="1:18" ht="12.75" customHeight="1" x14ac:dyDescent="0.35">
      <c r="A90" s="921" t="s">
        <v>2038</v>
      </c>
      <c r="B90" s="921"/>
      <c r="C90" s="911" t="s">
        <v>1961</v>
      </c>
      <c r="D90" s="282"/>
      <c r="E90" s="282"/>
      <c r="F90" s="282"/>
      <c r="G90" s="282"/>
      <c r="H90" s="926">
        <f>Calculations!$G$687</f>
        <v>0</v>
      </c>
      <c r="I90" s="926">
        <f>IF(IFRSCumulative,IF(RIGHT(I$2,4)=RIGHT(OFFSET(I$2,0,-1),4),OFFSET(I90,0,-1),0),0)+OFFSET(Calculations!$G$687,0,I$1)</f>
        <v>0</v>
      </c>
      <c r="J90" s="926">
        <f>IF(IFRSCumulative,IF(RIGHT(J$2,4)=RIGHT(OFFSET(J$2,0,-1),4),OFFSET(J90,0,-1),0),0)+OFFSET(Calculations!$G$687,0,J$1)</f>
        <v>0</v>
      </c>
      <c r="K90" s="926">
        <f>IF(IFRSCumulative,IF(RIGHT(K$2,4)=RIGHT(OFFSET(K$2,0,-1),4),OFFSET(K90,0,-1),0),0)+OFFSET(Calculations!$G$687,0,K$1)</f>
        <v>0</v>
      </c>
      <c r="L90" s="926">
        <f>IF(IFRSCumulative,IF(RIGHT(L$2,4)=RIGHT(OFFSET(L$2,0,-1),4),OFFSET(L90,0,-1),0),0)+OFFSET(Calculations!$G$687,0,L$1)</f>
        <v>0</v>
      </c>
      <c r="M90" s="926">
        <f>IF(IFRSCumulative,IF(RIGHT(M$2,4)=RIGHT(OFFSET(M$2,0,-1),4),OFFSET(M90,0,-1),0),0)+OFFSET(Calculations!$G$687,0,M$1)</f>
        <v>0</v>
      </c>
      <c r="N90" s="926">
        <f>IF(IFRSCumulative,IF(RIGHT(N$2,4)=RIGHT(OFFSET(N$2,0,-1),4),OFFSET(N90,0,-1),0),0)+OFFSET(Calculations!$G$687,0,N$1)</f>
        <v>0</v>
      </c>
      <c r="O90" s="926">
        <f>IF(IFRSCumulative,IF(RIGHT(O$2,4)=RIGHT(OFFSET(O$2,0,-1),4),OFFSET(O90,0,-1),0),0)+OFFSET(Calculations!$G$687,0,O$1)</f>
        <v>0</v>
      </c>
      <c r="P90" s="926">
        <f>IF(IFRSCumulative,IF(RIGHT(P$2,4)=RIGHT(OFFSET(P$2,0,-1),4),OFFSET(P90,0,-1),0),0)+OFFSET(Calculations!$G$687,0,P$1)</f>
        <v>0</v>
      </c>
      <c r="Q90" s="926">
        <f>IF(IFRSCumulative,IF(RIGHT(Q$2,4)=RIGHT(OFFSET(Q$2,0,-1),4),OFFSET(Q90,0,-1),0),0)+OFFSET(Calculations!$G$687,0,Q$1)</f>
        <v>0</v>
      </c>
      <c r="R90" s="282"/>
    </row>
    <row r="91" spans="1:18" ht="12.75" customHeight="1" x14ac:dyDescent="0.35">
      <c r="A91" s="911" t="s">
        <v>2039</v>
      </c>
      <c r="B91" s="911"/>
      <c r="C91" s="286" t="s">
        <v>2040</v>
      </c>
      <c r="D91" s="282"/>
      <c r="E91" s="282"/>
      <c r="F91" s="282"/>
      <c r="G91" s="282"/>
      <c r="H91" s="282">
        <v>0</v>
      </c>
      <c r="I91" s="282">
        <v>0</v>
      </c>
      <c r="J91" s="282">
        <v>0</v>
      </c>
      <c r="K91" s="282">
        <v>0</v>
      </c>
      <c r="L91" s="282">
        <v>0</v>
      </c>
      <c r="M91" s="282">
        <v>0</v>
      </c>
      <c r="N91" s="282">
        <v>0</v>
      </c>
      <c r="O91" s="282">
        <v>0</v>
      </c>
      <c r="P91" s="282">
        <v>0</v>
      </c>
      <c r="Q91" s="282">
        <v>0</v>
      </c>
      <c r="R91" s="282"/>
    </row>
    <row r="92" spans="1:18" ht="12.75" customHeight="1" x14ac:dyDescent="0.35">
      <c r="A92" s="921" t="s">
        <v>2041</v>
      </c>
      <c r="B92" s="921"/>
      <c r="C92" s="286" t="s">
        <v>2042</v>
      </c>
      <c r="D92" s="282"/>
      <c r="E92" s="282"/>
      <c r="F92" s="282"/>
      <c r="G92" s="282"/>
      <c r="H92" s="926">
        <f t="shared" ref="H92:Q92" si="81">H23</f>
        <v>0</v>
      </c>
      <c r="I92" s="926">
        <f t="shared" si="81"/>
        <v>0</v>
      </c>
      <c r="J92" s="926">
        <f t="shared" ref="J92" si="82">J23</f>
        <v>0</v>
      </c>
      <c r="K92" s="926">
        <f t="shared" ref="K92" si="83">K23</f>
        <v>0</v>
      </c>
      <c r="L92" s="926">
        <f t="shared" ref="L92" si="84">L23</f>
        <v>-79989.30847144431</v>
      </c>
      <c r="M92" s="926">
        <f t="shared" ref="M92" si="85">M23</f>
        <v>-470950.74946412235</v>
      </c>
      <c r="N92" s="926">
        <f t="shared" si="81"/>
        <v>-757270.54309355002</v>
      </c>
      <c r="O92" s="926">
        <f t="shared" si="81"/>
        <v>-1107936.8215395985</v>
      </c>
      <c r="P92" s="926">
        <f t="shared" si="81"/>
        <v>-1528508.2860735075</v>
      </c>
      <c r="Q92" s="926">
        <f t="shared" si="81"/>
        <v>-2043183.535205672</v>
      </c>
      <c r="R92" s="282"/>
    </row>
    <row r="93" spans="1:18" ht="12.75" customHeight="1" x14ac:dyDescent="0.35">
      <c r="A93" s="911" t="s">
        <v>2043</v>
      </c>
      <c r="B93" s="911"/>
      <c r="C93" s="927" t="s">
        <v>2044</v>
      </c>
      <c r="D93" s="927"/>
      <c r="E93" s="927"/>
      <c r="F93" s="927"/>
      <c r="G93" s="927"/>
      <c r="H93" s="928">
        <f t="shared" ref="H93:Q93" si="86">SUM(H88:H92)</f>
        <v>0</v>
      </c>
      <c r="I93" s="928">
        <f t="shared" si="86"/>
        <v>83500</v>
      </c>
      <c r="J93" s="928">
        <f t="shared" ref="J93" si="87">SUM(J88:J92)</f>
        <v>171835.24842194421</v>
      </c>
      <c r="K93" s="928">
        <f t="shared" ref="K93" si="88">SUM(K88:K92)</f>
        <v>265088.21308700391</v>
      </c>
      <c r="L93" s="928">
        <f t="shared" ref="L93" si="89">SUM(L88:L92)</f>
        <v>283353.45987895154</v>
      </c>
      <c r="M93" s="928">
        <f t="shared" ref="M93" si="90">SUM(M88:M92)</f>
        <v>1513391.2129077429</v>
      </c>
      <c r="N93" s="928">
        <f t="shared" si="86"/>
        <v>2213548.3608119851</v>
      </c>
      <c r="O93" s="928">
        <f t="shared" si="86"/>
        <v>3071316.3357446818</v>
      </c>
      <c r="P93" s="928">
        <f t="shared" si="86"/>
        <v>4131076.8315997329</v>
      </c>
      <c r="Q93" s="928">
        <f t="shared" si="86"/>
        <v>5429808.2339440491</v>
      </c>
      <c r="R93" s="925"/>
    </row>
    <row r="94" spans="1:18" ht="12.75" customHeight="1" x14ac:dyDescent="0.35">
      <c r="A94" s="921" t="s">
        <v>2045</v>
      </c>
      <c r="B94" s="921"/>
      <c r="C94" s="292" t="s">
        <v>980</v>
      </c>
      <c r="D94" s="943"/>
      <c r="E94" s="943"/>
      <c r="F94" s="943"/>
      <c r="G94" s="943"/>
      <c r="H94" s="944">
        <f>Calculations!$G$625</f>
        <v>0</v>
      </c>
      <c r="I94" s="944">
        <f>IF(IFRSCumulative,IF(RIGHT(I$2,4)=RIGHT(OFFSET(I$2,0,-1),4),OFFSET(I94,0,-1),0),0)+OFFSET(Calculations!$G$625,0,I$1)</f>
        <v>-1121400</v>
      </c>
      <c r="J94" s="944">
        <f>IF(IFRSCumulative,IF(RIGHT(J$2,4)=RIGHT(OFFSET(J$2,0,-1),4),OFFSET(J94,0,-1),0),0)+OFFSET(Calculations!$G$625,0,J$1)</f>
        <v>-1471276.0937579134</v>
      </c>
      <c r="K94" s="944">
        <f>IF(IFRSCumulative,IF(RIGHT(K$2,4)=RIGHT(OFFSET(K$2,0,-1),4),OFFSET(K94,0,-1),0),0)+OFFSET(Calculations!$G$625,0,K$1)</f>
        <v>-1496369.516722949</v>
      </c>
      <c r="L94" s="944">
        <f>IF(IFRSCumulative,IF(RIGHT(L$2,4)=RIGHT(OFFSET(L$2,0,-1),4),OFFSET(L94,0,-1),0),0)+OFFSET(Calculations!$G$625,0,L$1)</f>
        <v>-1521890.9218177651</v>
      </c>
      <c r="M94" s="944">
        <f>IF(IFRSCumulative,IF(RIGHT(M$2,4)=RIGHT(OFFSET(M$2,0,-1),4),OFFSET(M94,0,-1),0),0)+OFFSET(Calculations!$G$625,0,M$1)</f>
        <v>-207488.40778447018</v>
      </c>
      <c r="N94" s="944">
        <f>IF(IFRSCumulative,IF(RIGHT(N$2,4)=RIGHT(OFFSET(N$2,0,-1),4),OFFSET(N94,0,-1),0),0)+OFFSET(Calculations!$G$625,0,N$1)</f>
        <v>-389110.34916050255</v>
      </c>
      <c r="O94" s="944">
        <f>IF(IFRSCumulative,IF(RIGHT(O$2,4)=RIGHT(OFFSET(O$2,0,-1),4),OFFSET(O94,0,-1),0),0)+OFFSET(Calculations!$G$625,0,O$1)</f>
        <v>-476660.17772161646</v>
      </c>
      <c r="P94" s="944">
        <f>IF(IFRSCumulative,IF(RIGHT(P$2,4)=RIGHT(OFFSET(P$2,0,-1),4),OFFSET(P94,0,-1),0),0)+OFFSET(Calculations!$G$625,0,P$1)</f>
        <v>-583908.71770897927</v>
      </c>
      <c r="Q94" s="944">
        <f>IF(IFRSCumulative,IF(RIGHT(Q$2,4)=RIGHT(OFFSET(Q$2,0,-1),4),OFFSET(Q94,0,-1),0),0)+OFFSET(Calculations!$G$625,0,Q$1)</f>
        <v>-715288.1791935002</v>
      </c>
      <c r="R94" s="282"/>
    </row>
    <row r="95" spans="1:18" ht="12.75" customHeight="1" x14ac:dyDescent="0.35">
      <c r="A95" s="911" t="s">
        <v>2046</v>
      </c>
      <c r="B95" s="911"/>
      <c r="C95" s="921" t="s">
        <v>2047</v>
      </c>
      <c r="D95" s="925"/>
      <c r="E95" s="925"/>
      <c r="F95" s="925"/>
      <c r="G95" s="925"/>
      <c r="H95" s="941">
        <f t="shared" ref="H95:Q95" si="91">SUM(H93:H94)</f>
        <v>0</v>
      </c>
      <c r="I95" s="941">
        <f t="shared" si="91"/>
        <v>-1037900</v>
      </c>
      <c r="J95" s="941">
        <f t="shared" ref="J95" si="92">SUM(J93:J94)</f>
        <v>-1299440.8453359692</v>
      </c>
      <c r="K95" s="941">
        <f t="shared" ref="K95" si="93">SUM(K93:K94)</f>
        <v>-1231281.3036359451</v>
      </c>
      <c r="L95" s="941">
        <f t="shared" ref="L95" si="94">SUM(L93:L94)</f>
        <v>-1238537.4619388136</v>
      </c>
      <c r="M95" s="941">
        <f t="shared" ref="M95" si="95">SUM(M93:M94)</f>
        <v>1305902.8051232728</v>
      </c>
      <c r="N95" s="941">
        <f t="shared" si="91"/>
        <v>1824438.0116514824</v>
      </c>
      <c r="O95" s="941">
        <f t="shared" si="91"/>
        <v>2594656.1580230654</v>
      </c>
      <c r="P95" s="941">
        <f t="shared" si="91"/>
        <v>3547168.1138907536</v>
      </c>
      <c r="Q95" s="941">
        <f t="shared" si="91"/>
        <v>4714520.0547505487</v>
      </c>
      <c r="R95" s="925"/>
    </row>
    <row r="96" spans="1:18" ht="12.75" customHeight="1" x14ac:dyDescent="0.35">
      <c r="A96" s="921" t="s">
        <v>2048</v>
      </c>
      <c r="B96" s="921"/>
      <c r="C96" s="286" t="s">
        <v>2049</v>
      </c>
      <c r="D96" s="252"/>
      <c r="E96" s="252"/>
      <c r="F96" s="252"/>
      <c r="G96" s="252"/>
      <c r="H96" s="933">
        <f>IF(AnyDisc,H28-SUM(Calculations!$G$918:$G$920)-SUM(Calculations!$G$928:$G$930),0)</f>
        <v>0</v>
      </c>
      <c r="I96" s="933">
        <f>IF(AnyDisc,I28-IF(IFRSCumulative,IF(RIGHT(I$2,4)=RIGHT(OFFSET(I$2,0,-1),4),OFFSET(I96,0,-1),0),0)-SUM(OFFSET(Calculations!$G$918,0,I$1):OFFSET(Calculations!$G$920,0,I$1))-SUM(OFFSET(Calculations!$G$928,0,I$1):OFFSET(Calculations!$G$930,0,I$1)),0)</f>
        <v>0</v>
      </c>
      <c r="J96" s="933">
        <f>IF(AnyDisc,J28-IF(IFRSCumulative,IF(RIGHT(J$2,4)=RIGHT(OFFSET(J$2,0,-1),4),OFFSET(J96,0,-1),0),0)-SUM(OFFSET(Calculations!$G$918,0,J$1):OFFSET(Calculations!$G$920,0,J$1))-SUM(OFFSET(Calculations!$G$928,0,J$1):OFFSET(Calculations!$G$930,0,J$1)),0)</f>
        <v>0</v>
      </c>
      <c r="K96" s="933">
        <f>IF(AnyDisc,K28-IF(IFRSCumulative,IF(RIGHT(K$2,4)=RIGHT(OFFSET(K$2,0,-1),4),OFFSET(K96,0,-1),0),0)-SUM(OFFSET(Calculations!$G$918,0,K$1):OFFSET(Calculations!$G$920,0,K$1))-SUM(OFFSET(Calculations!$G$928,0,K$1):OFFSET(Calculations!$G$930,0,K$1)),0)</f>
        <v>0</v>
      </c>
      <c r="L96" s="933">
        <f>IF(AnyDisc,L28-IF(IFRSCumulative,IF(RIGHT(L$2,4)=RIGHT(OFFSET(L$2,0,-1),4),OFFSET(L96,0,-1),0),0)-SUM(OFFSET(Calculations!$G$918,0,L$1):OFFSET(Calculations!$G$920,0,L$1))-SUM(OFFSET(Calculations!$G$928,0,L$1):OFFSET(Calculations!$G$930,0,L$1)),0)</f>
        <v>0</v>
      </c>
      <c r="M96" s="933">
        <f>IF(AnyDisc,M28-IF(IFRSCumulative,IF(RIGHT(M$2,4)=RIGHT(OFFSET(M$2,0,-1),4),OFFSET(M96,0,-1),0),0)-SUM(OFFSET(Calculations!$G$918,0,M$1):OFFSET(Calculations!$G$920,0,M$1))-SUM(OFFSET(Calculations!$G$928,0,M$1):OFFSET(Calculations!$G$930,0,M$1)),0)</f>
        <v>0</v>
      </c>
      <c r="N96" s="933">
        <f>IF(AnyDisc,N28-IF(IFRSCumulative,IF(RIGHT(N$2,4)=RIGHT(OFFSET(N$2,0,-1),4),OFFSET(N96,0,-1),0),0)-SUM(OFFSET(Calculations!$G$918,0,N$1):OFFSET(Calculations!$G$920,0,N$1))-SUM(OFFSET(Calculations!$G$928,0,N$1):OFFSET(Calculations!$G$930,0,N$1)),0)</f>
        <v>0</v>
      </c>
      <c r="O96" s="933">
        <f>IF(AnyDisc,O28-IF(IFRSCumulative,IF(RIGHT(O$2,4)=RIGHT(OFFSET(O$2,0,-1),4),OFFSET(O96,0,-1),0),0)-SUM(OFFSET(Calculations!$G$918,0,O$1):OFFSET(Calculations!$G$920,0,O$1))-SUM(OFFSET(Calculations!$G$928,0,O$1):OFFSET(Calculations!$G$930,0,O$1)),0)</f>
        <v>0</v>
      </c>
      <c r="P96" s="933">
        <f>IF(AnyDisc,P28-IF(IFRSCumulative,IF(RIGHT(P$2,4)=RIGHT(OFFSET(P$2,0,-1),4),OFFSET(P96,0,-1),0),0)-SUM(OFFSET(Calculations!$G$918,0,P$1):OFFSET(Calculations!$G$920,0,P$1))-SUM(OFFSET(Calculations!$G$928,0,P$1):OFFSET(Calculations!$G$930,0,P$1)),0)</f>
        <v>0</v>
      </c>
      <c r="Q96" s="933">
        <f>IF(AnyDisc,Q28-IF(IFRSCumulative,IF(RIGHT(Q$2,4)=RIGHT(OFFSET(Q$2,0,-1),4),OFFSET(Q96,0,-1),0),0)-SUM(OFFSET(Calculations!$G$918,0,Q$1):OFFSET(Calculations!$G$920,0,Q$1))-SUM(OFFSET(Calculations!$G$928,0,Q$1):OFFSET(Calculations!$G$930,0,Q$1)),0)</f>
        <v>0</v>
      </c>
      <c r="R96" s="252"/>
    </row>
    <row r="97" spans="1:18" ht="12.75" customHeight="1" x14ac:dyDescent="0.35">
      <c r="A97" s="911" t="s">
        <v>2050</v>
      </c>
      <c r="B97" s="911"/>
      <c r="C97" s="927" t="s">
        <v>2051</v>
      </c>
      <c r="D97" s="927"/>
      <c r="E97" s="927"/>
      <c r="F97" s="927"/>
      <c r="G97" s="927"/>
      <c r="H97" s="928">
        <f t="shared" ref="H97:Q97" si="96">SUM(H95:H96)</f>
        <v>0</v>
      </c>
      <c r="I97" s="928">
        <f t="shared" si="96"/>
        <v>-1037900</v>
      </c>
      <c r="J97" s="928">
        <f t="shared" ref="J97" si="97">SUM(J95:J96)</f>
        <v>-1299440.8453359692</v>
      </c>
      <c r="K97" s="928">
        <f t="shared" ref="K97" si="98">SUM(K95:K96)</f>
        <v>-1231281.3036359451</v>
      </c>
      <c r="L97" s="928">
        <f t="shared" ref="L97" si="99">SUM(L95:L96)</f>
        <v>-1238537.4619388136</v>
      </c>
      <c r="M97" s="928">
        <f t="shared" ref="M97" si="100">SUM(M95:M96)</f>
        <v>1305902.8051232728</v>
      </c>
      <c r="N97" s="928">
        <f t="shared" si="96"/>
        <v>1824438.0116514824</v>
      </c>
      <c r="O97" s="928">
        <f t="shared" si="96"/>
        <v>2594656.1580230654</v>
      </c>
      <c r="P97" s="928">
        <f t="shared" si="96"/>
        <v>3547168.1138907536</v>
      </c>
      <c r="Q97" s="928">
        <f t="shared" si="96"/>
        <v>4714520.0547505487</v>
      </c>
      <c r="R97" s="925"/>
    </row>
    <row r="98" spans="1:18" ht="6" customHeight="1" x14ac:dyDescent="0.35">
      <c r="A98" s="921" t="s">
        <v>2052</v>
      </c>
      <c r="B98" s="921"/>
      <c r="C98" s="911"/>
      <c r="D98" s="282"/>
      <c r="E98" s="282"/>
      <c r="F98" s="282"/>
      <c r="G98" s="282"/>
      <c r="H98" s="282"/>
      <c r="I98" s="282"/>
      <c r="J98" s="282"/>
      <c r="K98" s="282"/>
      <c r="L98" s="282"/>
      <c r="M98" s="282"/>
      <c r="N98" s="282"/>
      <c r="O98" s="282"/>
      <c r="P98" s="282"/>
      <c r="Q98" s="282"/>
      <c r="R98" s="282"/>
    </row>
    <row r="99" spans="1:18" ht="12.75" customHeight="1" x14ac:dyDescent="0.35">
      <c r="A99" s="911" t="s">
        <v>2053</v>
      </c>
      <c r="B99" s="911"/>
      <c r="C99" s="942" t="s">
        <v>2054</v>
      </c>
      <c r="D99" s="282"/>
      <c r="E99" s="282"/>
      <c r="F99" s="282"/>
      <c r="G99" s="282"/>
      <c r="H99" s="282"/>
      <c r="I99" s="282"/>
      <c r="J99" s="282"/>
      <c r="K99" s="282"/>
      <c r="L99" s="282"/>
      <c r="M99" s="282"/>
      <c r="N99" s="282"/>
      <c r="O99" s="282"/>
      <c r="P99" s="282"/>
      <c r="Q99" s="282"/>
      <c r="R99" s="282"/>
    </row>
    <row r="100" spans="1:18" ht="12.75" customHeight="1" x14ac:dyDescent="0.35">
      <c r="A100" s="921" t="s">
        <v>902</v>
      </c>
      <c r="B100" s="921"/>
      <c r="C100" s="911" t="s">
        <v>2055</v>
      </c>
      <c r="D100" s="282"/>
      <c r="E100" s="282"/>
      <c r="F100" s="282"/>
      <c r="G100" s="282"/>
      <c r="H100" s="926">
        <f>Calculations!$G$911</f>
        <v>0</v>
      </c>
      <c r="I100" s="926">
        <f>IF(IFRSCumulative,IF(RIGHT(I$2,4)=RIGHT(OFFSET(I$2,0,-1),4),OFFSET(I100,0,-1),0),0)+OFFSET(Calculations!$G$911,0,I$1)</f>
        <v>0</v>
      </c>
      <c r="J100" s="926">
        <f>IF(IFRSCumulative,IF(RIGHT(J$2,4)=RIGHT(OFFSET(J$2,0,-1),4),OFFSET(J100,0,-1),0),0)+OFFSET(Calculations!$G$911,0,J$1)</f>
        <v>0</v>
      </c>
      <c r="K100" s="926">
        <f>IF(IFRSCumulative,IF(RIGHT(K$2,4)=RIGHT(OFFSET(K$2,0,-1),4),OFFSET(K100,0,-1),0),0)+OFFSET(Calculations!$G$911,0,K$1)</f>
        <v>0</v>
      </c>
      <c r="L100" s="926">
        <f>IF(IFRSCumulative,IF(RIGHT(L$2,4)=RIGHT(OFFSET(L$2,0,-1),4),OFFSET(L100,0,-1),0),0)+OFFSET(Calculations!$G$911,0,L$1)</f>
        <v>0</v>
      </c>
      <c r="M100" s="926">
        <f>IF(IFRSCumulative,IF(RIGHT(M$2,4)=RIGHT(OFFSET(M$2,0,-1),4),OFFSET(M100,0,-1),0),0)+OFFSET(Calculations!$G$911,0,M$1)</f>
        <v>0</v>
      </c>
      <c r="N100" s="926">
        <f>IF(IFRSCumulative,IF(RIGHT(N$2,4)=RIGHT(OFFSET(N$2,0,-1),4),OFFSET(N100,0,-1),0),0)+OFFSET(Calculations!$G$911,0,N$1)</f>
        <v>0</v>
      </c>
      <c r="O100" s="926">
        <f>IF(IFRSCumulative,IF(RIGHT(O$2,4)=RIGHT(OFFSET(O$2,0,-1),4),OFFSET(O100,0,-1),0),0)+OFFSET(Calculations!$G$911,0,O$1)</f>
        <v>0</v>
      </c>
      <c r="P100" s="926">
        <f>IF(IFRSCumulative,IF(RIGHT(P$2,4)=RIGHT(OFFSET(P$2,0,-1),4),OFFSET(P100,0,-1),0),0)+OFFSET(Calculations!$G$911,0,P$1)</f>
        <v>0</v>
      </c>
      <c r="Q100" s="926">
        <f>IF(IFRSCumulative,IF(RIGHT(Q$2,4)=RIGHT(OFFSET(Q$2,0,-1),4),OFFSET(Q100,0,-1),0),0)+OFFSET(Calculations!$G$911,0,Q$1)</f>
        <v>0</v>
      </c>
      <c r="R100" s="282"/>
    </row>
    <row r="101" spans="1:18" ht="12.75" customHeight="1" x14ac:dyDescent="0.35">
      <c r="A101" s="911" t="s">
        <v>907</v>
      </c>
      <c r="B101" s="911"/>
      <c r="C101" s="286" t="s">
        <v>2056</v>
      </c>
      <c r="D101" s="282"/>
      <c r="E101" s="282"/>
      <c r="F101" s="282"/>
      <c r="G101" s="282"/>
      <c r="H101" s="926">
        <f>Calculations!$G$921</f>
        <v>0</v>
      </c>
      <c r="I101" s="926">
        <f>IF(IFRSCumulative,IF(RIGHT(I$2,4)=RIGHT(OFFSET(I$2,0,-1),4),OFFSET(I101,0,-1),0),0)+OFFSET(Calculations!$G$921,0,I$1)</f>
        <v>0</v>
      </c>
      <c r="J101" s="926">
        <f>IF(IFRSCumulative,IF(RIGHT(J$2,4)=RIGHT(OFFSET(J$2,0,-1),4),OFFSET(J101,0,-1),0),0)+OFFSET(Calculations!$G$921,0,J$1)</f>
        <v>0</v>
      </c>
      <c r="K101" s="926">
        <f>IF(IFRSCumulative,IF(RIGHT(K$2,4)=RIGHT(OFFSET(K$2,0,-1),4),OFFSET(K101,0,-1),0),0)+OFFSET(Calculations!$G$921,0,K$1)</f>
        <v>0</v>
      </c>
      <c r="L101" s="926">
        <f>IF(IFRSCumulative,IF(RIGHT(L$2,4)=RIGHT(OFFSET(L$2,0,-1),4),OFFSET(L101,0,-1),0),0)+OFFSET(Calculations!$G$921,0,L$1)</f>
        <v>0</v>
      </c>
      <c r="M101" s="926">
        <f>IF(IFRSCumulative,IF(RIGHT(M$2,4)=RIGHT(OFFSET(M$2,0,-1),4),OFFSET(M101,0,-1),0),0)+OFFSET(Calculations!$G$921,0,M$1)</f>
        <v>0</v>
      </c>
      <c r="N101" s="926">
        <f>IF(IFRSCumulative,IF(RIGHT(N$2,4)=RIGHT(OFFSET(N$2,0,-1),4),OFFSET(N101,0,-1),0),0)+OFFSET(Calculations!$G$921,0,N$1)</f>
        <v>0</v>
      </c>
      <c r="O101" s="926">
        <f>IF(IFRSCumulative,IF(RIGHT(O$2,4)=RIGHT(OFFSET(O$2,0,-1),4),OFFSET(O101,0,-1),0),0)+OFFSET(Calculations!$G$921,0,O$1)</f>
        <v>0</v>
      </c>
      <c r="P101" s="926">
        <f>IF(IFRSCumulative,IF(RIGHT(P$2,4)=RIGHT(OFFSET(P$2,0,-1),4),OFFSET(P101,0,-1),0),0)+OFFSET(Calculations!$G$921,0,P$1)</f>
        <v>0</v>
      </c>
      <c r="Q101" s="926">
        <f>IF(IFRSCumulative,IF(RIGHT(Q$2,4)=RIGHT(OFFSET(Q$2,0,-1),4),OFFSET(Q101,0,-1),0),0)+OFFSET(Calculations!$G$921,0,Q$1)</f>
        <v>0</v>
      </c>
      <c r="R101" s="282"/>
    </row>
    <row r="102" spans="1:18" ht="12.75" customHeight="1" x14ac:dyDescent="0.35">
      <c r="A102" s="921" t="s">
        <v>912</v>
      </c>
      <c r="B102" s="921"/>
      <c r="C102" s="286" t="s">
        <v>2057</v>
      </c>
      <c r="D102" s="282"/>
      <c r="E102" s="282"/>
      <c r="F102" s="282"/>
      <c r="G102" s="282"/>
      <c r="H102" s="926">
        <f>Calculations!$G$912</f>
        <v>0</v>
      </c>
      <c r="I102" s="926">
        <f>IF(IFRSCumulative,IF(RIGHT(I$2,4)=RIGHT(OFFSET(I$2,0,-1),4),OFFSET(I102,0,-1),0),0)+OFFSET(Calculations!$G$912,0,I$1)</f>
        <v>0</v>
      </c>
      <c r="J102" s="926">
        <f>IF(IFRSCumulative,IF(RIGHT(J$2,4)=RIGHT(OFFSET(J$2,0,-1),4),OFFSET(J102,0,-1),0),0)+OFFSET(Calculations!$G$912,0,J$1)</f>
        <v>0</v>
      </c>
      <c r="K102" s="926">
        <f>IF(IFRSCumulative,IF(RIGHT(K$2,4)=RIGHT(OFFSET(K$2,0,-1),4),OFFSET(K102,0,-1),0),0)+OFFSET(Calculations!$G$912,0,K$1)</f>
        <v>0</v>
      </c>
      <c r="L102" s="926">
        <f>IF(IFRSCumulative,IF(RIGHT(L$2,4)=RIGHT(OFFSET(L$2,0,-1),4),OFFSET(L102,0,-1),0),0)+OFFSET(Calculations!$G$912,0,L$1)</f>
        <v>0</v>
      </c>
      <c r="M102" s="926">
        <f>IF(IFRSCumulative,IF(RIGHT(M$2,4)=RIGHT(OFFSET(M$2,0,-1),4),OFFSET(M102,0,-1),0),0)+OFFSET(Calculations!$G$912,0,M$1)</f>
        <v>0</v>
      </c>
      <c r="N102" s="926">
        <f>IF(IFRSCumulative,IF(RIGHT(N$2,4)=RIGHT(OFFSET(N$2,0,-1),4),OFFSET(N102,0,-1),0),0)+OFFSET(Calculations!$G$912,0,N$1)</f>
        <v>0</v>
      </c>
      <c r="O102" s="926">
        <f>IF(IFRSCumulative,IF(RIGHT(O$2,4)=RIGHT(OFFSET(O$2,0,-1),4),OFFSET(O102,0,-1),0),0)+OFFSET(Calculations!$G$912,0,O$1)</f>
        <v>0</v>
      </c>
      <c r="P102" s="926">
        <f>IF(IFRSCumulative,IF(RIGHT(P$2,4)=RIGHT(OFFSET(P$2,0,-1),4),OFFSET(P102,0,-1),0),0)+OFFSET(Calculations!$G$912,0,P$1)</f>
        <v>0</v>
      </c>
      <c r="Q102" s="926">
        <f>IF(IFRSCumulative,IF(RIGHT(Q$2,4)=RIGHT(OFFSET(Q$2,0,-1),4),OFFSET(Q102,0,-1),0),0)+OFFSET(Calculations!$G$912,0,Q$1)</f>
        <v>0</v>
      </c>
      <c r="R102" s="282"/>
    </row>
    <row r="103" spans="1:18" ht="12.75" customHeight="1" x14ac:dyDescent="0.35">
      <c r="A103" s="911" t="s">
        <v>921</v>
      </c>
      <c r="B103" s="911"/>
      <c r="C103" s="286" t="s">
        <v>2058</v>
      </c>
      <c r="D103" s="282"/>
      <c r="E103" s="282"/>
      <c r="F103" s="282"/>
      <c r="G103" s="282"/>
      <c r="H103" s="926">
        <f>Calculations!$G$922</f>
        <v>0</v>
      </c>
      <c r="I103" s="926">
        <f>IF(IFRSCumulative,IF(RIGHT(I$2,4)=RIGHT(OFFSET(I$2,0,-1),4),OFFSET(I103,0,-1),0),0)+OFFSET(Calculations!$G$922,0,I$1)</f>
        <v>0</v>
      </c>
      <c r="J103" s="926">
        <f>IF(IFRSCumulative,IF(RIGHT(J$2,4)=RIGHT(OFFSET(J$2,0,-1),4),OFFSET(J103,0,-1),0),0)+OFFSET(Calculations!$G$922,0,J$1)</f>
        <v>0</v>
      </c>
      <c r="K103" s="926">
        <f>IF(IFRSCumulative,IF(RIGHT(K$2,4)=RIGHT(OFFSET(K$2,0,-1),4),OFFSET(K103,0,-1),0),0)+OFFSET(Calculations!$G$922,0,K$1)</f>
        <v>0</v>
      </c>
      <c r="L103" s="926">
        <f>IF(IFRSCumulative,IF(RIGHT(L$2,4)=RIGHT(OFFSET(L$2,0,-1),4),OFFSET(L103,0,-1),0),0)+OFFSET(Calculations!$G$922,0,L$1)</f>
        <v>0</v>
      </c>
      <c r="M103" s="926">
        <f>IF(IFRSCumulative,IF(RIGHT(M$2,4)=RIGHT(OFFSET(M$2,0,-1),4),OFFSET(M103,0,-1),0),0)+OFFSET(Calculations!$G$922,0,M$1)</f>
        <v>0</v>
      </c>
      <c r="N103" s="926">
        <f>IF(IFRSCumulative,IF(RIGHT(N$2,4)=RIGHT(OFFSET(N$2,0,-1),4),OFFSET(N103,0,-1),0),0)+OFFSET(Calculations!$G$922,0,N$1)</f>
        <v>0</v>
      </c>
      <c r="O103" s="926">
        <f>IF(IFRSCumulative,IF(RIGHT(O$2,4)=RIGHT(OFFSET(O$2,0,-1),4),OFFSET(O103,0,-1),0),0)+OFFSET(Calculations!$G$922,0,O$1)</f>
        <v>0</v>
      </c>
      <c r="P103" s="926">
        <f>IF(IFRSCumulative,IF(RIGHT(P$2,4)=RIGHT(OFFSET(P$2,0,-1),4),OFFSET(P103,0,-1),0),0)+OFFSET(Calculations!$G$922,0,P$1)</f>
        <v>0</v>
      </c>
      <c r="Q103" s="926">
        <f>IF(IFRSCumulative,IF(RIGHT(Q$2,4)=RIGHT(OFFSET(Q$2,0,-1),4),OFFSET(Q103,0,-1),0),0)+OFFSET(Calculations!$G$922,0,Q$1)</f>
        <v>0</v>
      </c>
      <c r="R103" s="282"/>
    </row>
    <row r="104" spans="1:18" ht="12.75" customHeight="1" x14ac:dyDescent="0.35">
      <c r="A104" s="921" t="s">
        <v>932</v>
      </c>
      <c r="B104" s="921"/>
      <c r="C104" s="286" t="s">
        <v>2059</v>
      </c>
      <c r="D104" s="282"/>
      <c r="E104" s="282"/>
      <c r="F104" s="282"/>
      <c r="G104" s="282"/>
      <c r="H104" s="282">
        <v>0</v>
      </c>
      <c r="I104" s="282">
        <v>0</v>
      </c>
      <c r="J104" s="282">
        <v>0</v>
      </c>
      <c r="K104" s="282">
        <v>0</v>
      </c>
      <c r="L104" s="282">
        <v>0</v>
      </c>
      <c r="M104" s="282">
        <v>0</v>
      </c>
      <c r="N104" s="282">
        <v>0</v>
      </c>
      <c r="O104" s="282">
        <v>0</v>
      </c>
      <c r="P104" s="282">
        <v>0</v>
      </c>
      <c r="Q104" s="282">
        <v>0</v>
      </c>
      <c r="R104" s="282"/>
    </row>
    <row r="105" spans="1:18" ht="12.75" customHeight="1" x14ac:dyDescent="0.35">
      <c r="A105" s="911" t="s">
        <v>946</v>
      </c>
      <c r="B105" s="911"/>
      <c r="C105" s="927" t="s">
        <v>2060</v>
      </c>
      <c r="D105" s="940"/>
      <c r="E105" s="940"/>
      <c r="F105" s="940"/>
      <c r="G105" s="940"/>
      <c r="H105" s="928">
        <f t="shared" ref="H105:Q105" si="101">SUM(H100:H104)</f>
        <v>0</v>
      </c>
      <c r="I105" s="928">
        <f t="shared" si="101"/>
        <v>0</v>
      </c>
      <c r="J105" s="928">
        <f t="shared" ref="J105" si="102">SUM(J100:J104)</f>
        <v>0</v>
      </c>
      <c r="K105" s="928">
        <f t="shared" ref="K105" si="103">SUM(K100:K104)</f>
        <v>0</v>
      </c>
      <c r="L105" s="928">
        <f t="shared" ref="L105" si="104">SUM(L100:L104)</f>
        <v>0</v>
      </c>
      <c r="M105" s="928">
        <f t="shared" ref="M105" si="105">SUM(M100:M104)</f>
        <v>0</v>
      </c>
      <c r="N105" s="928">
        <f t="shared" si="101"/>
        <v>0</v>
      </c>
      <c r="O105" s="928">
        <f t="shared" si="101"/>
        <v>0</v>
      </c>
      <c r="P105" s="928">
        <f t="shared" si="101"/>
        <v>0</v>
      </c>
      <c r="Q105" s="928">
        <f t="shared" si="101"/>
        <v>0</v>
      </c>
      <c r="R105" s="282"/>
    </row>
    <row r="106" spans="1:18" ht="12.75" customHeight="1" x14ac:dyDescent="0.35">
      <c r="A106" s="921" t="s">
        <v>949</v>
      </c>
      <c r="B106" s="921"/>
      <c r="C106" s="292" t="s">
        <v>2061</v>
      </c>
      <c r="D106" s="292"/>
      <c r="E106" s="292"/>
      <c r="F106" s="292"/>
      <c r="G106" s="292"/>
      <c r="H106" s="945">
        <f>IF(AnyDisc,SUM(Calculations!$G$916:$G$919)+SUM(Calculations!$G$926:$G$929),0)</f>
        <v>0</v>
      </c>
      <c r="I106" s="945">
        <f>IF(AnyDisc,IF(IFRSCumulative,IF(RIGHT(I$2,4)=RIGHT(OFFSET(I$2,0,-1),4),OFFSET(I106,0,-1),0),0)+SUM(OFFSET(Calculations!$G$916,0,I$1):OFFSET(Calculations!$G$919,0,I$1))+SUM(OFFSET(Calculations!$G$926,0,I$1):OFFSET(Calculations!$G$929,0,I$1)),0)</f>
        <v>0</v>
      </c>
      <c r="J106" s="945">
        <f>IF(AnyDisc,IF(IFRSCumulative,IF(RIGHT(J$2,4)=RIGHT(OFFSET(J$2,0,-1),4),OFFSET(J106,0,-1),0),0)+SUM(OFFSET(Calculations!$G$916,0,J$1):OFFSET(Calculations!$G$919,0,J$1))+SUM(OFFSET(Calculations!$G$926,0,J$1):OFFSET(Calculations!$G$929,0,J$1)),0)</f>
        <v>0</v>
      </c>
      <c r="K106" s="945">
        <f>IF(AnyDisc,IF(IFRSCumulative,IF(RIGHT(K$2,4)=RIGHT(OFFSET(K$2,0,-1),4),OFFSET(K106,0,-1),0),0)+SUM(OFFSET(Calculations!$G$916,0,K$1):OFFSET(Calculations!$G$919,0,K$1))+SUM(OFFSET(Calculations!$G$926,0,K$1):OFFSET(Calculations!$G$929,0,K$1)),0)</f>
        <v>0</v>
      </c>
      <c r="L106" s="945">
        <f>IF(AnyDisc,IF(IFRSCumulative,IF(RIGHT(L$2,4)=RIGHT(OFFSET(L$2,0,-1),4),OFFSET(L106,0,-1),0),0)+SUM(OFFSET(Calculations!$G$916,0,L$1):OFFSET(Calculations!$G$919,0,L$1))+SUM(OFFSET(Calculations!$G$926,0,L$1):OFFSET(Calculations!$G$929,0,L$1)),0)</f>
        <v>0</v>
      </c>
      <c r="M106" s="945">
        <f>IF(AnyDisc,IF(IFRSCumulative,IF(RIGHT(M$2,4)=RIGHT(OFFSET(M$2,0,-1),4),OFFSET(M106,0,-1),0),0)+SUM(OFFSET(Calculations!$G$916,0,M$1):OFFSET(Calculations!$G$919,0,M$1))+SUM(OFFSET(Calculations!$G$926,0,M$1):OFFSET(Calculations!$G$929,0,M$1)),0)</f>
        <v>0</v>
      </c>
      <c r="N106" s="945">
        <f>IF(AnyDisc,IF(IFRSCumulative,IF(RIGHT(N$2,4)=RIGHT(OFFSET(N$2,0,-1),4),OFFSET(N106,0,-1),0),0)+SUM(OFFSET(Calculations!$G$916,0,N$1):OFFSET(Calculations!$G$919,0,N$1))+SUM(OFFSET(Calculations!$G$926,0,N$1):OFFSET(Calculations!$G$929,0,N$1)),0)</f>
        <v>0</v>
      </c>
      <c r="O106" s="945">
        <f>IF(AnyDisc,IF(IFRSCumulative,IF(RIGHT(O$2,4)=RIGHT(OFFSET(O$2,0,-1),4),OFFSET(O106,0,-1),0),0)+SUM(OFFSET(Calculations!$G$916,0,O$1):OFFSET(Calculations!$G$919,0,O$1))+SUM(OFFSET(Calculations!$G$926,0,O$1):OFFSET(Calculations!$G$929,0,O$1)),0)</f>
        <v>0</v>
      </c>
      <c r="P106" s="945">
        <f>IF(AnyDisc,IF(IFRSCumulative,IF(RIGHT(P$2,4)=RIGHT(OFFSET(P$2,0,-1),4),OFFSET(P106,0,-1),0),0)+SUM(OFFSET(Calculations!$G$916,0,P$1):OFFSET(Calculations!$G$919,0,P$1))+SUM(OFFSET(Calculations!$G$926,0,P$1):OFFSET(Calculations!$G$929,0,P$1)),0)</f>
        <v>0</v>
      </c>
      <c r="Q106" s="945">
        <f>IF(AnyDisc,IF(IFRSCumulative,IF(RIGHT(Q$2,4)=RIGHT(OFFSET(Q$2,0,-1),4),OFFSET(Q106,0,-1),0),0)+SUM(OFFSET(Calculations!$G$916,0,Q$1):OFFSET(Calculations!$G$919,0,Q$1))+SUM(OFFSET(Calculations!$G$926,0,Q$1):OFFSET(Calculations!$G$929,0,Q$1)),0)</f>
        <v>0</v>
      </c>
      <c r="R106" s="252"/>
    </row>
    <row r="107" spans="1:18" ht="12.75" customHeight="1" x14ac:dyDescent="0.35">
      <c r="A107" s="911" t="s">
        <v>956</v>
      </c>
      <c r="B107" s="911"/>
      <c r="C107" s="921" t="s">
        <v>2062</v>
      </c>
      <c r="D107" s="925"/>
      <c r="E107" s="925"/>
      <c r="F107" s="925"/>
      <c r="G107" s="925"/>
      <c r="H107" s="941">
        <f t="shared" ref="H107:Q107" si="106">SUM(H105:H106)</f>
        <v>0</v>
      </c>
      <c r="I107" s="941">
        <f t="shared" si="106"/>
        <v>0</v>
      </c>
      <c r="J107" s="941">
        <f t="shared" ref="J107" si="107">SUM(J105:J106)</f>
        <v>0</v>
      </c>
      <c r="K107" s="941">
        <f t="shared" ref="K107" si="108">SUM(K105:K106)</f>
        <v>0</v>
      </c>
      <c r="L107" s="941">
        <f t="shared" ref="L107" si="109">SUM(L105:L106)</f>
        <v>0</v>
      </c>
      <c r="M107" s="941">
        <f t="shared" ref="M107" si="110">SUM(M105:M106)</f>
        <v>0</v>
      </c>
      <c r="N107" s="941">
        <f t="shared" si="106"/>
        <v>0</v>
      </c>
      <c r="O107" s="941">
        <f t="shared" si="106"/>
        <v>0</v>
      </c>
      <c r="P107" s="941">
        <f t="shared" si="106"/>
        <v>0</v>
      </c>
      <c r="Q107" s="941">
        <f t="shared" si="106"/>
        <v>0</v>
      </c>
      <c r="R107" s="282"/>
    </row>
    <row r="108" spans="1:18" ht="6" customHeight="1" x14ac:dyDescent="0.35">
      <c r="A108" s="921" t="s">
        <v>962</v>
      </c>
      <c r="B108" s="921"/>
      <c r="C108" s="911"/>
      <c r="D108" s="282"/>
      <c r="E108" s="282"/>
      <c r="F108" s="282"/>
      <c r="G108" s="282"/>
      <c r="H108" s="282"/>
      <c r="I108" s="282"/>
      <c r="J108" s="282"/>
      <c r="K108" s="282"/>
      <c r="L108" s="282"/>
      <c r="M108" s="282"/>
      <c r="N108" s="282"/>
      <c r="O108" s="282"/>
      <c r="P108" s="282"/>
      <c r="Q108" s="282"/>
      <c r="R108" s="282"/>
    </row>
    <row r="109" spans="1:18" ht="12.75" customHeight="1" x14ac:dyDescent="0.35">
      <c r="A109" s="911" t="s">
        <v>964</v>
      </c>
      <c r="B109" s="911"/>
      <c r="C109" s="921" t="s">
        <v>2063</v>
      </c>
      <c r="D109" s="925"/>
      <c r="E109" s="925"/>
      <c r="F109" s="925"/>
      <c r="G109" s="925"/>
      <c r="H109" s="941">
        <f t="shared" ref="H109:Q109" si="111">H97+H107</f>
        <v>0</v>
      </c>
      <c r="I109" s="941">
        <f t="shared" si="111"/>
        <v>-1037900</v>
      </c>
      <c r="J109" s="941">
        <f t="shared" ref="J109" si="112">J97+J107</f>
        <v>-1299440.8453359692</v>
      </c>
      <c r="K109" s="941">
        <f t="shared" ref="K109" si="113">K97+K107</f>
        <v>-1231281.3036359451</v>
      </c>
      <c r="L109" s="941">
        <f t="shared" ref="L109" si="114">L97+L107</f>
        <v>-1238537.4619388136</v>
      </c>
      <c r="M109" s="941">
        <f t="shared" ref="M109" si="115">M97+M107</f>
        <v>1305902.8051232728</v>
      </c>
      <c r="N109" s="941">
        <f t="shared" si="111"/>
        <v>1824438.0116514824</v>
      </c>
      <c r="O109" s="941">
        <f t="shared" si="111"/>
        <v>2594656.1580230654</v>
      </c>
      <c r="P109" s="941">
        <f t="shared" si="111"/>
        <v>3547168.1138907536</v>
      </c>
      <c r="Q109" s="941">
        <f t="shared" si="111"/>
        <v>4714520.0547505487</v>
      </c>
      <c r="R109" s="925"/>
    </row>
    <row r="110" spans="1:18" ht="6" customHeight="1" x14ac:dyDescent="0.35">
      <c r="A110" s="921" t="s">
        <v>967</v>
      </c>
      <c r="B110" s="921"/>
      <c r="C110" s="911"/>
      <c r="D110" s="282"/>
      <c r="E110" s="282"/>
      <c r="F110" s="282"/>
      <c r="G110" s="282"/>
      <c r="H110" s="282"/>
      <c r="I110" s="282"/>
      <c r="J110" s="282"/>
      <c r="K110" s="282"/>
      <c r="L110" s="282"/>
      <c r="M110" s="282"/>
      <c r="N110" s="282"/>
      <c r="O110" s="282"/>
      <c r="P110" s="282"/>
      <c r="Q110" s="282"/>
      <c r="R110" s="282"/>
    </row>
    <row r="111" spans="1:18" ht="12.75" customHeight="1" x14ac:dyDescent="0.35">
      <c r="A111" s="911" t="s">
        <v>970</v>
      </c>
      <c r="B111" s="911"/>
      <c r="C111" s="942" t="s">
        <v>2064</v>
      </c>
      <c r="D111" s="282"/>
      <c r="E111" s="282"/>
      <c r="F111" s="282"/>
      <c r="G111" s="282"/>
      <c r="H111" s="282"/>
      <c r="I111" s="282"/>
      <c r="J111" s="282"/>
      <c r="K111" s="282"/>
      <c r="L111" s="282"/>
      <c r="M111" s="282"/>
      <c r="N111" s="282"/>
      <c r="O111" s="282"/>
      <c r="P111" s="282"/>
      <c r="Q111" s="282"/>
      <c r="R111" s="282"/>
    </row>
    <row r="112" spans="1:18" ht="12.75" customHeight="1" x14ac:dyDescent="0.35">
      <c r="A112" s="921" t="s">
        <v>973</v>
      </c>
      <c r="B112" s="921"/>
      <c r="C112" s="286" t="s">
        <v>2065</v>
      </c>
      <c r="D112" s="282"/>
      <c r="E112" s="282"/>
      <c r="F112" s="282"/>
      <c r="G112" s="282"/>
      <c r="H112" s="926">
        <f>Calculations!$G$689+Calculations!$G$696</f>
        <v>0</v>
      </c>
      <c r="I112" s="926">
        <f>IF(IFRSCumulative,IF(RIGHT(I$2,4)=RIGHT(OFFSET(I$2,0,-1),4),OFFSET(I112,0,-1),0),0)+OFFSET(Calculations!$G$689,0,I$1)+OFFSET(Calculations!$G$696,0,I$1-1)</f>
        <v>0</v>
      </c>
      <c r="J112" s="926">
        <f>IF(IFRSCumulative,IF(RIGHT(J$2,4)=RIGHT(OFFSET(J$2,0,-1),4),OFFSET(J112,0,-1),0),0)+OFFSET(Calculations!$G$689,0,J$1)+OFFSET(Calculations!$G$696,0,J$1-1)</f>
        <v>0</v>
      </c>
      <c r="K112" s="926">
        <f>IF(IFRSCumulative,IF(RIGHT(K$2,4)=RIGHT(OFFSET(K$2,0,-1),4),OFFSET(K112,0,-1),0),0)+OFFSET(Calculations!$G$689,0,K$1)+OFFSET(Calculations!$G$696,0,K$1-1)</f>
        <v>0</v>
      </c>
      <c r="L112" s="926">
        <f>IF(IFRSCumulative,IF(RIGHT(L$2,4)=RIGHT(OFFSET(L$2,0,-1),4),OFFSET(L112,0,-1),0),0)+OFFSET(Calculations!$G$689,0,L$1)+OFFSET(Calculations!$G$696,0,L$1-1)</f>
        <v>0</v>
      </c>
      <c r="M112" s="926">
        <f>IF(IFRSCumulative,IF(RIGHT(M$2,4)=RIGHT(OFFSET(M$2,0,-1),4),OFFSET(M112,0,-1),0),0)+OFFSET(Calculations!$G$689,0,M$1)+OFFSET(Calculations!$G$696,0,M$1-1)</f>
        <v>0</v>
      </c>
      <c r="N112" s="926">
        <f>IF(IFRSCumulative,IF(RIGHT(N$2,4)=RIGHT(OFFSET(N$2,0,-1),4),OFFSET(N112,0,-1),0),0)+OFFSET(Calculations!$G$689,0,N$1)+OFFSET(Calculations!$G$696,0,N$1-1)</f>
        <v>0</v>
      </c>
      <c r="O112" s="926">
        <f>IF(IFRSCumulative,IF(RIGHT(O$2,4)=RIGHT(OFFSET(O$2,0,-1),4),OFFSET(O112,0,-1),0),0)+OFFSET(Calculations!$G$689,0,O$1)+OFFSET(Calculations!$G$696,0,O$1-1)</f>
        <v>0</v>
      </c>
      <c r="P112" s="926">
        <f>IF(IFRSCumulative,IF(RIGHT(P$2,4)=RIGHT(OFFSET(P$2,0,-1),4),OFFSET(P112,0,-1),0),0)+OFFSET(Calculations!$G$689,0,P$1)+OFFSET(Calculations!$G$696,0,P$1-1)</f>
        <v>0</v>
      </c>
      <c r="Q112" s="926">
        <f>IF(IFRSCumulative,IF(RIGHT(Q$2,4)=RIGHT(OFFSET(Q$2,0,-1),4),OFFSET(Q112,0,-1),0),0)+OFFSET(Calculations!$G$689,0,Q$1)+OFFSET(Calculations!$G$696,0,Q$1-1)</f>
        <v>0</v>
      </c>
      <c r="R112" s="282"/>
    </row>
    <row r="113" spans="1:18" ht="12.75" customHeight="1" x14ac:dyDescent="0.35">
      <c r="A113" s="911" t="s">
        <v>981</v>
      </c>
      <c r="B113" s="911"/>
      <c r="C113" s="286" t="s">
        <v>2066</v>
      </c>
      <c r="D113" s="282"/>
      <c r="E113" s="282"/>
      <c r="F113" s="282"/>
      <c r="G113" s="282"/>
      <c r="H113" s="926">
        <f>OFFSET(Calculations!$E$706,0,H$1+Calculations!$D$7-5)</f>
        <v>0</v>
      </c>
      <c r="I113" s="926">
        <f>IF(IFRSCumulative,IF(RIGHT(I$2,4)=RIGHT(OFFSET(I$2,0,-1),4),OFFSET(I113,0,-1),0),0)+OFFSET(Calculations!$E$706,0,I$1+Calculations!$D$7-5)</f>
        <v>0</v>
      </c>
      <c r="J113" s="926">
        <f>IF(IFRSCumulative,IF(RIGHT(J$2,4)=RIGHT(OFFSET(J$2,0,-1),4),OFFSET(J113,0,-1),0),0)+OFFSET(Calculations!$E$706,0,J$1+Calculations!$D$7-5)</f>
        <v>0</v>
      </c>
      <c r="K113" s="926">
        <f>IF(IFRSCumulative,IF(RIGHT(K$2,4)=RIGHT(OFFSET(K$2,0,-1),4),OFFSET(K113,0,-1),0),0)+OFFSET(Calculations!$E$706,0,K$1+Calculations!$D$7-5)</f>
        <v>0</v>
      </c>
      <c r="L113" s="926">
        <f>IF(IFRSCumulative,IF(RIGHT(L$2,4)=RIGHT(OFFSET(L$2,0,-1),4),OFFSET(L113,0,-1),0),0)+OFFSET(Calculations!$E$706,0,L$1+Calculations!$D$7-5)</f>
        <v>0</v>
      </c>
      <c r="M113" s="926">
        <f>IF(IFRSCumulative,IF(RIGHT(M$2,4)=RIGHT(OFFSET(M$2,0,-1),4),OFFSET(M113,0,-1),0),0)+OFFSET(Calculations!$E$706,0,M$1+Calculations!$D$7-5)</f>
        <v>0</v>
      </c>
      <c r="N113" s="926">
        <f>IF(IFRSCumulative,IF(RIGHT(N$2,4)=RIGHT(OFFSET(N$2,0,-1),4),OFFSET(N113,0,-1),0),0)+OFFSET(Calculations!$E$706,0,N$1+Calculations!$D$7-5)</f>
        <v>0</v>
      </c>
      <c r="O113" s="926">
        <f>IF(IFRSCumulative,IF(RIGHT(O$2,4)=RIGHT(OFFSET(O$2,0,-1),4),OFFSET(O113,0,-1),0),0)+OFFSET(Calculations!$E$706,0,O$1+Calculations!$D$7-5)</f>
        <v>0</v>
      </c>
      <c r="P113" s="926">
        <f>IF(IFRSCumulative,IF(RIGHT(P$2,4)=RIGHT(OFFSET(P$2,0,-1),4),OFFSET(P113,0,-1),0),0)+OFFSET(Calculations!$E$706,0,P$1+Calculations!$D$7-5)</f>
        <v>0</v>
      </c>
      <c r="Q113" s="926">
        <f>IF(IFRSCumulative,IF(RIGHT(Q$2,4)=RIGHT(OFFSET(Q$2,0,-1),4),OFFSET(Q113,0,-1),0),0)+OFFSET(Calculations!$E$706,0,Q$1+Calculations!$D$7-5)</f>
        <v>0</v>
      </c>
      <c r="R113" s="282"/>
    </row>
    <row r="114" spans="1:18" ht="12.75" customHeight="1" x14ac:dyDescent="0.35">
      <c r="A114" s="921" t="s">
        <v>2067</v>
      </c>
      <c r="B114" s="921"/>
      <c r="C114" s="286" t="s">
        <v>2068</v>
      </c>
      <c r="D114" s="282"/>
      <c r="E114" s="282"/>
      <c r="F114" s="282"/>
      <c r="G114" s="282"/>
      <c r="H114" s="926">
        <f>SUM(OFFSET(Calculations!$E$702,0,H$1+Calculations!$D$7-5):'Calculations'!$G$705)</f>
        <v>0</v>
      </c>
      <c r="I114" s="926">
        <f>IF(IFRSCumulative,IF(RIGHT(I$2,4)=RIGHT(OFFSET(I$2,0,-1),4),OFFSET(I114,0,-1),0),0)+SUM(OFFSET(Calculations!$E$702,0,I$1+Calculations!$D$7-5):'Calculations'!$H$705)</f>
        <v>0</v>
      </c>
      <c r="J114" s="926">
        <f>IF(IFRSCumulative,IF(RIGHT(J$2,4)=RIGHT(OFFSET(J$2,0,-1),4),OFFSET(J114,0,-1),0),0)+SUM(OFFSET(Calculations!$E$702,0,J$1+Calculations!$D$7-5):'Calculations'!$H$705)</f>
        <v>0</v>
      </c>
      <c r="K114" s="926">
        <f>IF(IFRSCumulative,IF(RIGHT(K$2,4)=RIGHT(OFFSET(K$2,0,-1),4),OFFSET(K114,0,-1),0),0)+SUM(OFFSET(Calculations!$E$702,0,K$1+Calculations!$D$7-5):'Calculations'!$H$705)</f>
        <v>0</v>
      </c>
      <c r="L114" s="926">
        <f>IF(IFRSCumulative,IF(RIGHT(L$2,4)=RIGHT(OFFSET(L$2,0,-1),4),OFFSET(L114,0,-1),0),0)+SUM(OFFSET(Calculations!$E$702,0,L$1+Calculations!$D$7-5):'Calculations'!$H$705)</f>
        <v>0</v>
      </c>
      <c r="M114" s="926">
        <f>IF(IFRSCumulative,IF(RIGHT(M$2,4)=RIGHT(OFFSET(M$2,0,-1),4),OFFSET(M114,0,-1),0),0)+SUM(OFFSET(Calculations!$E$702,0,M$1+Calculations!$D$7-5):'Calculations'!$H$705)</f>
        <v>0</v>
      </c>
      <c r="N114" s="926">
        <v>0</v>
      </c>
      <c r="O114" s="926">
        <v>0</v>
      </c>
      <c r="P114" s="926">
        <v>0</v>
      </c>
      <c r="Q114" s="926">
        <v>0</v>
      </c>
      <c r="R114" s="282"/>
    </row>
    <row r="115" spans="1:18" ht="12.75" customHeight="1" x14ac:dyDescent="0.35">
      <c r="A115" s="911" t="s">
        <v>2069</v>
      </c>
      <c r="B115" s="911"/>
      <c r="C115" s="927" t="s">
        <v>2070</v>
      </c>
      <c r="D115" s="927"/>
      <c r="E115" s="927"/>
      <c r="F115" s="927"/>
      <c r="G115" s="927"/>
      <c r="H115" s="928">
        <f t="shared" ref="H115:Q115" si="116">SUM(H112:H114)</f>
        <v>0</v>
      </c>
      <c r="I115" s="928">
        <f t="shared" si="116"/>
        <v>0</v>
      </c>
      <c r="J115" s="928">
        <f t="shared" ref="J115" si="117">SUM(J112:J114)</f>
        <v>0</v>
      </c>
      <c r="K115" s="928">
        <f t="shared" ref="K115" si="118">SUM(K112:K114)</f>
        <v>0</v>
      </c>
      <c r="L115" s="928">
        <f t="shared" ref="L115" si="119">SUM(L112:L114)</f>
        <v>0</v>
      </c>
      <c r="M115" s="928">
        <f t="shared" ref="M115" si="120">SUM(M112:M114)</f>
        <v>0</v>
      </c>
      <c r="N115" s="928">
        <f t="shared" si="116"/>
        <v>0</v>
      </c>
      <c r="O115" s="928">
        <f t="shared" si="116"/>
        <v>0</v>
      </c>
      <c r="P115" s="928">
        <f t="shared" si="116"/>
        <v>0</v>
      </c>
      <c r="Q115" s="928">
        <f t="shared" si="116"/>
        <v>0</v>
      </c>
      <c r="R115" s="925"/>
    </row>
    <row r="116" spans="1:18" ht="12.75" customHeight="1" x14ac:dyDescent="0.35">
      <c r="A116" s="921" t="s">
        <v>2071</v>
      </c>
      <c r="B116" s="921"/>
      <c r="C116" s="292" t="s">
        <v>2072</v>
      </c>
      <c r="D116" s="292"/>
      <c r="E116" s="292"/>
      <c r="F116" s="292"/>
      <c r="G116" s="292"/>
      <c r="H116" s="292">
        <v>0</v>
      </c>
      <c r="I116" s="292">
        <v>0</v>
      </c>
      <c r="J116" s="292">
        <v>0</v>
      </c>
      <c r="K116" s="292">
        <v>0</v>
      </c>
      <c r="L116" s="292">
        <v>0</v>
      </c>
      <c r="M116" s="292">
        <v>0</v>
      </c>
      <c r="N116" s="292">
        <v>0</v>
      </c>
      <c r="O116" s="292">
        <v>0</v>
      </c>
      <c r="P116" s="292">
        <v>0</v>
      </c>
      <c r="Q116" s="292">
        <v>0</v>
      </c>
      <c r="R116" s="252"/>
    </row>
    <row r="117" spans="1:18" ht="12.75" customHeight="1" x14ac:dyDescent="0.35">
      <c r="A117" s="911" t="s">
        <v>2073</v>
      </c>
      <c r="B117" s="911"/>
      <c r="C117" s="921" t="s">
        <v>2074</v>
      </c>
      <c r="D117" s="925"/>
      <c r="E117" s="925"/>
      <c r="F117" s="925"/>
      <c r="G117" s="925"/>
      <c r="H117" s="941">
        <f t="shared" ref="H117:Q117" si="121">SUM(H115:H116)</f>
        <v>0</v>
      </c>
      <c r="I117" s="941">
        <f t="shared" si="121"/>
        <v>0</v>
      </c>
      <c r="J117" s="941">
        <f t="shared" ref="J117" si="122">SUM(J115:J116)</f>
        <v>0</v>
      </c>
      <c r="K117" s="941">
        <f t="shared" ref="K117" si="123">SUM(K115:K116)</f>
        <v>0</v>
      </c>
      <c r="L117" s="941">
        <f t="shared" ref="L117" si="124">SUM(L115:L116)</f>
        <v>0</v>
      </c>
      <c r="M117" s="941">
        <f t="shared" ref="M117" si="125">SUM(M115:M116)</f>
        <v>0</v>
      </c>
      <c r="N117" s="941">
        <f t="shared" si="121"/>
        <v>0</v>
      </c>
      <c r="O117" s="941">
        <f t="shared" si="121"/>
        <v>0</v>
      </c>
      <c r="P117" s="941">
        <f t="shared" si="121"/>
        <v>0</v>
      </c>
      <c r="Q117" s="941">
        <f t="shared" si="121"/>
        <v>0</v>
      </c>
      <c r="R117" s="925"/>
    </row>
    <row r="118" spans="1:18" ht="6" customHeight="1" x14ac:dyDescent="0.35">
      <c r="A118" s="921" t="s">
        <v>2075</v>
      </c>
      <c r="B118" s="921"/>
      <c r="C118" s="911"/>
      <c r="D118" s="282"/>
      <c r="E118" s="282"/>
      <c r="F118" s="282"/>
      <c r="G118" s="282"/>
      <c r="H118" s="282"/>
      <c r="I118" s="282"/>
      <c r="J118" s="282"/>
      <c r="K118" s="282"/>
      <c r="L118" s="282"/>
      <c r="M118" s="282"/>
      <c r="N118" s="282"/>
      <c r="O118" s="282"/>
      <c r="P118" s="282"/>
      <c r="Q118" s="282"/>
      <c r="R118" s="282"/>
    </row>
    <row r="119" spans="1:18" ht="12.75" customHeight="1" x14ac:dyDescent="0.35">
      <c r="A119" s="911" t="s">
        <v>2076</v>
      </c>
      <c r="B119" s="911"/>
      <c r="C119" s="921" t="s">
        <v>2077</v>
      </c>
      <c r="D119" s="925"/>
      <c r="E119" s="925"/>
      <c r="F119" s="925"/>
      <c r="G119" s="925"/>
      <c r="H119" s="941">
        <f t="shared" ref="H119:Q119" si="126">H97+H107+H117</f>
        <v>0</v>
      </c>
      <c r="I119" s="941">
        <f t="shared" si="126"/>
        <v>-1037900</v>
      </c>
      <c r="J119" s="941">
        <f t="shared" ref="J119" si="127">J97+J107+J117</f>
        <v>-1299440.8453359692</v>
      </c>
      <c r="K119" s="941">
        <f t="shared" ref="K119" si="128">K97+K107+K117</f>
        <v>-1231281.3036359451</v>
      </c>
      <c r="L119" s="941">
        <f t="shared" ref="L119" si="129">L97+L107+L117</f>
        <v>-1238537.4619388136</v>
      </c>
      <c r="M119" s="941">
        <f t="shared" ref="M119" si="130">M97+M107+M117</f>
        <v>1305902.8051232728</v>
      </c>
      <c r="N119" s="941">
        <f t="shared" si="126"/>
        <v>1824438.0116514824</v>
      </c>
      <c r="O119" s="941">
        <f t="shared" si="126"/>
        <v>2594656.1580230654</v>
      </c>
      <c r="P119" s="941">
        <f t="shared" si="126"/>
        <v>3547168.1138907536</v>
      </c>
      <c r="Q119" s="941">
        <f t="shared" si="126"/>
        <v>4714520.0547505487</v>
      </c>
      <c r="R119" s="925"/>
    </row>
    <row r="120" spans="1:18" ht="12.75" customHeight="1" x14ac:dyDescent="0.35">
      <c r="A120" s="921" t="s">
        <v>2078</v>
      </c>
      <c r="B120" s="921"/>
      <c r="C120" s="921" t="s">
        <v>2079</v>
      </c>
      <c r="D120" s="925"/>
      <c r="E120" s="925"/>
      <c r="F120" s="925"/>
      <c r="G120" s="925"/>
      <c r="H120" s="941">
        <f t="shared" ref="H120:Q120" si="131">H95+H105+H115</f>
        <v>0</v>
      </c>
      <c r="I120" s="941">
        <f t="shared" si="131"/>
        <v>-1037900</v>
      </c>
      <c r="J120" s="941">
        <f t="shared" ref="J120" si="132">J95+J105+J115</f>
        <v>-1299440.8453359692</v>
      </c>
      <c r="K120" s="941">
        <f t="shared" ref="K120" si="133">K95+K105+K115</f>
        <v>-1231281.3036359451</v>
      </c>
      <c r="L120" s="941">
        <f t="shared" ref="L120" si="134">L95+L105+L115</f>
        <v>-1238537.4619388136</v>
      </c>
      <c r="M120" s="941">
        <f t="shared" ref="M120" si="135">M95+M105+M115</f>
        <v>1305902.8051232728</v>
      </c>
      <c r="N120" s="941">
        <f t="shared" si="131"/>
        <v>1824438.0116514824</v>
      </c>
      <c r="O120" s="941">
        <f t="shared" si="131"/>
        <v>2594656.1580230654</v>
      </c>
      <c r="P120" s="941">
        <f t="shared" si="131"/>
        <v>3547168.1138907536</v>
      </c>
      <c r="Q120" s="941">
        <f t="shared" si="131"/>
        <v>4714520.0547505487</v>
      </c>
      <c r="R120" s="925"/>
    </row>
    <row r="121" spans="1:18" ht="6" customHeight="1" x14ac:dyDescent="0.35">
      <c r="A121" s="946"/>
      <c r="B121" s="946"/>
      <c r="C121" s="946"/>
      <c r="D121" s="913"/>
      <c r="E121" s="913"/>
      <c r="F121" s="913"/>
      <c r="G121" s="913"/>
      <c r="H121" s="913"/>
      <c r="I121" s="913"/>
      <c r="J121" s="913"/>
      <c r="K121" s="913"/>
      <c r="L121" s="913"/>
      <c r="M121" s="913"/>
      <c r="N121" s="913"/>
      <c r="O121" s="913"/>
      <c r="P121" s="913"/>
      <c r="Q121" s="913"/>
      <c r="R121" s="913"/>
    </row>
  </sheetData>
  <sheetProtection algorithmName="SHA-512" hashValue="/+lqyIho6PZTfKqznYKhzNi0rY4KzS6Autll07F6Gz2UQlssjIRIFrhqYVPJWn4b7Z2/lOETOt7xo9R+fUxj8g==" saltValue="8eaWCiksnY4l8zQnJ+Wzag==" spinCount="100000" sheet="1" objects="1" scenarios="1" formatCells="0"/>
  <printOptions horizontalCentered="1" verticalCentered="1"/>
  <pageMargins left="0.27559055118110237" right="0.27559055118110237" top="0.39370078740157483" bottom="0.39370078740157483" header="0.51181102362204722" footer="0.51181102362204722"/>
  <pageSetup paperSize="9" scale="90" fitToHeight="0" orientation="landscape" r:id="rId1"/>
  <headerFooter>
    <oddFooter>&amp;L&amp;8Invest for Excel&amp;C&amp;8&amp;F&amp;R&amp;8&amp;D: &amp;T</oddFooter>
  </headerFooter>
  <rowBreaks count="2" manualBreakCount="2">
    <brk id="37" max="16383" man="1"/>
    <brk id="8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kKeyFigures">
              <controlPr defaultSize="0" print="0" autoFill="0" autoLine="0" autoPict="0" macro="[0]!ToggleIFRSKeyFigures">
                <anchor moveWithCells="1">
                  <from>
                    <xdr:col>2</xdr:col>
                    <xdr:colOff>50800</xdr:colOff>
                    <xdr:row>2</xdr:row>
                    <xdr:rowOff>38100</xdr:rowOff>
                  </from>
                  <to>
                    <xdr:col>5</xdr:col>
                    <xdr:colOff>1339850</xdr:colOff>
                    <xdr:row>4</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MD">
    <pageSetUpPr autoPageBreaks="0"/>
  </sheetPr>
  <dimension ref="A1:E103"/>
  <sheetViews>
    <sheetView showGridLines="0" showRowColHeaders="0" workbookViewId="0">
      <selection activeCell="A2" sqref="A2"/>
    </sheetView>
  </sheetViews>
  <sheetFormatPr defaultColWidth="9.1796875" defaultRowHeight="14.5" x14ac:dyDescent="0.35"/>
  <cols>
    <col min="1" max="1" width="20.7265625" style="5" customWidth="1"/>
    <col min="2" max="2" width="35.7265625" style="5" customWidth="1"/>
    <col min="3" max="3" width="60.7265625" style="5" customWidth="1"/>
    <col min="4" max="4" width="0.54296875" style="5" customWidth="1"/>
    <col min="5" max="5" width="5.7265625" style="5" customWidth="1"/>
    <col min="6" max="16384" width="9.1796875" style="5"/>
  </cols>
  <sheetData>
    <row r="1" spans="1:5" ht="12.75" customHeight="1" x14ac:dyDescent="0.35">
      <c r="A1" s="131" t="str">
        <f ca="1">""&amp;SpecsTxt!$D$22</f>
        <v>Macro workbook name</v>
      </c>
      <c r="B1" s="131" t="str">
        <f ca="1">""&amp;SpecsTxt!$E$22</f>
        <v>Term change macro</v>
      </c>
      <c r="C1" s="131" t="str">
        <f ca="1">""&amp;SpecsTxt!$F$22</f>
        <v>Description (optional)</v>
      </c>
      <c r="D1" s="8"/>
      <c r="E1" s="9"/>
    </row>
    <row r="2" spans="1:5" ht="12.75" customHeight="1" x14ac:dyDescent="0.35">
      <c r="A2" s="10"/>
      <c r="B2" s="10"/>
      <c r="C2" s="11"/>
      <c r="D2" s="8"/>
      <c r="E2" s="9"/>
    </row>
    <row r="3" spans="1:5" ht="12.75" customHeight="1" x14ac:dyDescent="0.35">
      <c r="A3" s="131" t="str">
        <f ca="1">""&amp;SpecsTxt!$B$2</f>
        <v>Assignable macros</v>
      </c>
      <c r="B3" s="131" t="str">
        <f ca="1">SUBSTITUTE(SpecsTxt!$C$2,"XXX",IF(TRIM(""&amp;OFFSET(A1,1,0))&lt;&gt;"",OFFSET(A1,1,0),SpecsTxt!$D$2))</f>
        <v>Macro to run in macro workbook</v>
      </c>
      <c r="C3" s="131" t="str">
        <f ca="1">""&amp;SpecsTxt!$F$22</f>
        <v>Description (optional)</v>
      </c>
      <c r="D3" s="8"/>
    </row>
    <row r="4" spans="1:5" ht="12.75" customHeight="1" x14ac:dyDescent="0.35">
      <c r="A4" s="12" t="s">
        <v>2080</v>
      </c>
      <c r="B4" s="13"/>
      <c r="C4" s="11"/>
      <c r="D4" s="8"/>
    </row>
    <row r="5" spans="1:5" ht="12.75" customHeight="1" x14ac:dyDescent="0.35">
      <c r="A5" s="14" t="s">
        <v>2081</v>
      </c>
      <c r="B5" s="15"/>
      <c r="C5" s="16"/>
      <c r="D5" s="8"/>
    </row>
    <row r="6" spans="1:5" ht="12.75" customHeight="1" x14ac:dyDescent="0.35">
      <c r="A6" s="14" t="s">
        <v>2082</v>
      </c>
      <c r="B6" s="15"/>
      <c r="C6" s="16"/>
      <c r="D6" s="8"/>
    </row>
    <row r="7" spans="1:5" ht="12.75" customHeight="1" x14ac:dyDescent="0.35">
      <c r="A7" s="14" t="s">
        <v>2083</v>
      </c>
      <c r="B7" s="15"/>
      <c r="C7" s="16"/>
      <c r="D7" s="8"/>
    </row>
    <row r="8" spans="1:5" ht="12.75" customHeight="1" x14ac:dyDescent="0.35">
      <c r="A8" s="14" t="s">
        <v>2084</v>
      </c>
      <c r="B8" s="15"/>
      <c r="C8" s="16"/>
      <c r="D8" s="8"/>
    </row>
    <row r="9" spans="1:5" ht="12.75" customHeight="1" x14ac:dyDescent="0.35">
      <c r="A9" s="14" t="s">
        <v>2085</v>
      </c>
      <c r="B9" s="15"/>
      <c r="C9" s="16"/>
      <c r="D9" s="8"/>
    </row>
    <row r="10" spans="1:5" ht="12.75" customHeight="1" x14ac:dyDescent="0.35">
      <c r="A10" s="14" t="s">
        <v>2086</v>
      </c>
      <c r="B10" s="15"/>
      <c r="C10" s="16"/>
      <c r="D10" s="8"/>
    </row>
    <row r="11" spans="1:5" ht="12.75" customHeight="1" x14ac:dyDescent="0.35">
      <c r="A11" s="14" t="s">
        <v>2087</v>
      </c>
      <c r="B11" s="15"/>
      <c r="C11" s="16"/>
      <c r="D11" s="8"/>
    </row>
    <row r="12" spans="1:5" ht="12.75" customHeight="1" x14ac:dyDescent="0.35">
      <c r="A12" s="14" t="s">
        <v>2088</v>
      </c>
      <c r="B12" s="15"/>
      <c r="C12" s="16"/>
      <c r="D12" s="8"/>
    </row>
    <row r="13" spans="1:5" ht="12.75" customHeight="1" x14ac:dyDescent="0.35">
      <c r="A13" s="14" t="s">
        <v>2089</v>
      </c>
      <c r="B13" s="15"/>
      <c r="C13" s="16"/>
      <c r="D13" s="8"/>
    </row>
    <row r="14" spans="1:5" ht="12.75" customHeight="1" x14ac:dyDescent="0.35">
      <c r="A14" s="14" t="s">
        <v>2090</v>
      </c>
      <c r="B14" s="15"/>
      <c r="C14" s="16"/>
      <c r="D14" s="8"/>
    </row>
    <row r="15" spans="1:5" ht="12.75" customHeight="1" x14ac:dyDescent="0.35">
      <c r="A15" s="14" t="s">
        <v>2091</v>
      </c>
      <c r="B15" s="15"/>
      <c r="C15" s="16"/>
      <c r="D15" s="8"/>
    </row>
    <row r="16" spans="1:5" ht="12.75" customHeight="1" x14ac:dyDescent="0.35">
      <c r="A16" s="14" t="s">
        <v>2092</v>
      </c>
      <c r="B16" s="15"/>
      <c r="C16" s="16"/>
      <c r="D16" s="8"/>
    </row>
    <row r="17" spans="1:4" ht="12.75" customHeight="1" x14ac:dyDescent="0.35">
      <c r="A17" s="14" t="s">
        <v>2093</v>
      </c>
      <c r="B17" s="15"/>
      <c r="C17" s="16"/>
      <c r="D17" s="8"/>
    </row>
    <row r="18" spans="1:4" ht="12.75" customHeight="1" x14ac:dyDescent="0.35">
      <c r="A18" s="14" t="s">
        <v>2094</v>
      </c>
      <c r="B18" s="15"/>
      <c r="C18" s="16"/>
      <c r="D18" s="8"/>
    </row>
    <row r="19" spans="1:4" ht="12.75" customHeight="1" x14ac:dyDescent="0.35">
      <c r="A19" s="14" t="s">
        <v>2095</v>
      </c>
      <c r="B19" s="15"/>
      <c r="C19" s="16"/>
      <c r="D19" s="8"/>
    </row>
    <row r="20" spans="1:4" ht="12.75" customHeight="1" x14ac:dyDescent="0.35">
      <c r="A20" s="14" t="s">
        <v>2096</v>
      </c>
      <c r="B20" s="15"/>
      <c r="C20" s="16"/>
      <c r="D20" s="8"/>
    </row>
    <row r="21" spans="1:4" ht="12.75" customHeight="1" x14ac:dyDescent="0.35">
      <c r="A21" s="14" t="s">
        <v>2097</v>
      </c>
      <c r="B21" s="15"/>
      <c r="C21" s="16"/>
      <c r="D21" s="8"/>
    </row>
    <row r="22" spans="1:4" ht="12.75" customHeight="1" x14ac:dyDescent="0.35">
      <c r="A22" s="14" t="s">
        <v>2098</v>
      </c>
      <c r="B22" s="15"/>
      <c r="C22" s="16"/>
      <c r="D22" s="8"/>
    </row>
    <row r="23" spans="1:4" ht="12.75" customHeight="1" x14ac:dyDescent="0.35">
      <c r="A23" s="14" t="s">
        <v>2099</v>
      </c>
      <c r="B23" s="15"/>
      <c r="C23" s="16"/>
      <c r="D23" s="8"/>
    </row>
    <row r="24" spans="1:4" ht="12.75" customHeight="1" x14ac:dyDescent="0.35">
      <c r="A24" s="14" t="s">
        <v>2100</v>
      </c>
      <c r="B24" s="15"/>
      <c r="C24" s="16"/>
      <c r="D24" s="8"/>
    </row>
    <row r="25" spans="1:4" ht="12.75" customHeight="1" x14ac:dyDescent="0.35">
      <c r="A25" s="14" t="s">
        <v>2101</v>
      </c>
      <c r="B25" s="15"/>
      <c r="C25" s="16"/>
      <c r="D25" s="8"/>
    </row>
    <row r="26" spans="1:4" ht="12.75" customHeight="1" x14ac:dyDescent="0.35">
      <c r="A26" s="14" t="s">
        <v>2102</v>
      </c>
      <c r="B26" s="15"/>
      <c r="C26" s="16"/>
      <c r="D26" s="8"/>
    </row>
    <row r="27" spans="1:4" ht="12.75" customHeight="1" x14ac:dyDescent="0.35">
      <c r="A27" s="14" t="s">
        <v>2103</v>
      </c>
      <c r="B27" s="15"/>
      <c r="C27" s="16"/>
      <c r="D27" s="8"/>
    </row>
    <row r="28" spans="1:4" ht="12.75" customHeight="1" x14ac:dyDescent="0.35">
      <c r="A28" s="14" t="s">
        <v>2104</v>
      </c>
      <c r="B28" s="15"/>
      <c r="C28" s="16"/>
      <c r="D28" s="8"/>
    </row>
    <row r="29" spans="1:4" ht="12.75" customHeight="1" x14ac:dyDescent="0.35">
      <c r="A29" s="14" t="s">
        <v>2105</v>
      </c>
      <c r="B29" s="15"/>
      <c r="C29" s="16"/>
      <c r="D29" s="8"/>
    </row>
    <row r="30" spans="1:4" ht="12.75" customHeight="1" x14ac:dyDescent="0.35">
      <c r="A30" s="14" t="s">
        <v>2106</v>
      </c>
      <c r="B30" s="15"/>
      <c r="C30" s="16"/>
      <c r="D30" s="8"/>
    </row>
    <row r="31" spans="1:4" ht="12.75" customHeight="1" x14ac:dyDescent="0.35">
      <c r="A31" s="14" t="s">
        <v>2107</v>
      </c>
      <c r="B31" s="15"/>
      <c r="C31" s="16"/>
      <c r="D31" s="8"/>
    </row>
    <row r="32" spans="1:4" ht="12.75" customHeight="1" x14ac:dyDescent="0.35">
      <c r="A32" s="14" t="s">
        <v>2108</v>
      </c>
      <c r="B32" s="15"/>
      <c r="C32" s="16"/>
      <c r="D32" s="8"/>
    </row>
    <row r="33" spans="1:4" ht="12.75" customHeight="1" x14ac:dyDescent="0.35">
      <c r="A33" s="14" t="s">
        <v>2109</v>
      </c>
      <c r="B33" s="15"/>
      <c r="C33" s="16"/>
      <c r="D33" s="8"/>
    </row>
    <row r="34" spans="1:4" ht="12.75" customHeight="1" x14ac:dyDescent="0.35">
      <c r="A34" s="14" t="s">
        <v>2110</v>
      </c>
      <c r="B34" s="15"/>
      <c r="C34" s="16"/>
      <c r="D34" s="8"/>
    </row>
    <row r="35" spans="1:4" ht="12.75" customHeight="1" x14ac:dyDescent="0.35">
      <c r="A35" s="14" t="s">
        <v>2111</v>
      </c>
      <c r="B35" s="15"/>
      <c r="C35" s="16"/>
      <c r="D35" s="8"/>
    </row>
    <row r="36" spans="1:4" ht="12.75" customHeight="1" x14ac:dyDescent="0.35">
      <c r="A36" s="14" t="s">
        <v>2112</v>
      </c>
      <c r="B36" s="15"/>
      <c r="C36" s="16"/>
      <c r="D36" s="8"/>
    </row>
    <row r="37" spans="1:4" ht="12.75" customHeight="1" x14ac:dyDescent="0.35">
      <c r="A37" s="14" t="s">
        <v>2113</v>
      </c>
      <c r="B37" s="15"/>
      <c r="C37" s="16"/>
      <c r="D37" s="8"/>
    </row>
    <row r="38" spans="1:4" ht="12.75" customHeight="1" x14ac:dyDescent="0.35">
      <c r="A38" s="14" t="s">
        <v>2114</v>
      </c>
      <c r="B38" s="15"/>
      <c r="C38" s="16"/>
      <c r="D38" s="8"/>
    </row>
    <row r="39" spans="1:4" ht="12.75" customHeight="1" x14ac:dyDescent="0.35">
      <c r="A39" s="14" t="s">
        <v>2115</v>
      </c>
      <c r="B39" s="15"/>
      <c r="C39" s="16"/>
      <c r="D39" s="8"/>
    </row>
    <row r="40" spans="1:4" ht="12.75" customHeight="1" x14ac:dyDescent="0.35">
      <c r="A40" s="14" t="s">
        <v>2116</v>
      </c>
      <c r="B40" s="15"/>
      <c r="C40" s="16"/>
      <c r="D40" s="8"/>
    </row>
    <row r="41" spans="1:4" ht="12.75" customHeight="1" x14ac:dyDescent="0.35">
      <c r="A41" s="14" t="s">
        <v>2117</v>
      </c>
      <c r="B41" s="15"/>
      <c r="C41" s="16"/>
      <c r="D41" s="8"/>
    </row>
    <row r="42" spans="1:4" ht="12.75" customHeight="1" x14ac:dyDescent="0.35">
      <c r="A42" s="14" t="s">
        <v>2118</v>
      </c>
      <c r="B42" s="15"/>
      <c r="C42" s="16"/>
      <c r="D42" s="8"/>
    </row>
    <row r="43" spans="1:4" ht="12.75" customHeight="1" x14ac:dyDescent="0.35">
      <c r="A43" s="14" t="s">
        <v>2119</v>
      </c>
      <c r="B43" s="15"/>
      <c r="C43" s="16"/>
      <c r="D43" s="8"/>
    </row>
    <row r="44" spans="1:4" ht="12.75" customHeight="1" x14ac:dyDescent="0.35">
      <c r="A44" s="14" t="s">
        <v>2120</v>
      </c>
      <c r="B44" s="15"/>
      <c r="C44" s="16"/>
      <c r="D44" s="8"/>
    </row>
    <row r="45" spans="1:4" ht="12.75" customHeight="1" x14ac:dyDescent="0.35">
      <c r="A45" s="14" t="s">
        <v>2121</v>
      </c>
      <c r="B45" s="15"/>
      <c r="C45" s="16"/>
      <c r="D45" s="8"/>
    </row>
    <row r="46" spans="1:4" ht="12.75" customHeight="1" x14ac:dyDescent="0.35">
      <c r="A46" s="14" t="s">
        <v>2122</v>
      </c>
      <c r="B46" s="15"/>
      <c r="C46" s="16"/>
      <c r="D46" s="8"/>
    </row>
    <row r="47" spans="1:4" ht="12.75" customHeight="1" x14ac:dyDescent="0.35">
      <c r="A47" s="14" t="s">
        <v>2123</v>
      </c>
      <c r="B47" s="15"/>
      <c r="C47" s="16"/>
      <c r="D47" s="8"/>
    </row>
    <row r="48" spans="1:4" ht="12.75" customHeight="1" x14ac:dyDescent="0.35">
      <c r="A48" s="14" t="s">
        <v>2124</v>
      </c>
      <c r="B48" s="15"/>
      <c r="C48" s="16"/>
      <c r="D48" s="8"/>
    </row>
    <row r="49" spans="1:4" ht="12.75" customHeight="1" x14ac:dyDescent="0.35">
      <c r="A49" s="14" t="s">
        <v>2125</v>
      </c>
      <c r="B49" s="15"/>
      <c r="C49" s="16"/>
      <c r="D49" s="8"/>
    </row>
    <row r="50" spans="1:4" ht="12.75" customHeight="1" x14ac:dyDescent="0.35">
      <c r="A50" s="14" t="s">
        <v>2126</v>
      </c>
      <c r="B50" s="15"/>
      <c r="C50" s="16"/>
      <c r="D50" s="8"/>
    </row>
    <row r="51" spans="1:4" ht="12.75" customHeight="1" x14ac:dyDescent="0.35">
      <c r="A51" s="14" t="s">
        <v>2127</v>
      </c>
      <c r="B51" s="15"/>
      <c r="C51" s="16"/>
      <c r="D51" s="8"/>
    </row>
    <row r="52" spans="1:4" ht="12.75" customHeight="1" x14ac:dyDescent="0.35">
      <c r="A52" s="14" t="s">
        <v>2128</v>
      </c>
      <c r="B52" s="15"/>
      <c r="C52" s="16"/>
      <c r="D52" s="8"/>
    </row>
    <row r="53" spans="1:4" ht="12.75" customHeight="1" x14ac:dyDescent="0.35">
      <c r="A53" s="14" t="s">
        <v>2129</v>
      </c>
      <c r="B53" s="15"/>
      <c r="C53" s="16"/>
      <c r="D53" s="8"/>
    </row>
    <row r="54" spans="1:4" ht="12.75" customHeight="1" x14ac:dyDescent="0.35">
      <c r="A54" s="14" t="s">
        <v>2130</v>
      </c>
      <c r="B54" s="15"/>
      <c r="C54" s="16"/>
      <c r="D54" s="8"/>
    </row>
    <row r="55" spans="1:4" ht="12.75" customHeight="1" x14ac:dyDescent="0.35">
      <c r="A55" s="14" t="s">
        <v>2131</v>
      </c>
      <c r="B55" s="15"/>
      <c r="C55" s="16"/>
      <c r="D55" s="8"/>
    </row>
    <row r="56" spans="1:4" ht="12.75" customHeight="1" x14ac:dyDescent="0.35">
      <c r="A56" s="14" t="s">
        <v>2132</v>
      </c>
      <c r="B56" s="15"/>
      <c r="C56" s="16"/>
      <c r="D56" s="8"/>
    </row>
    <row r="57" spans="1:4" ht="12.75" customHeight="1" x14ac:dyDescent="0.35">
      <c r="A57" s="14" t="s">
        <v>2133</v>
      </c>
      <c r="B57" s="15"/>
      <c r="C57" s="16"/>
      <c r="D57" s="8"/>
    </row>
    <row r="58" spans="1:4" ht="12.75" customHeight="1" x14ac:dyDescent="0.35">
      <c r="A58" s="14" t="s">
        <v>2134</v>
      </c>
      <c r="B58" s="15"/>
      <c r="C58" s="16"/>
      <c r="D58" s="8"/>
    </row>
    <row r="59" spans="1:4" ht="12.75" customHeight="1" x14ac:dyDescent="0.35">
      <c r="A59" s="14" t="s">
        <v>2135</v>
      </c>
      <c r="B59" s="15"/>
      <c r="C59" s="16"/>
      <c r="D59" s="8"/>
    </row>
    <row r="60" spans="1:4" ht="12.75" customHeight="1" x14ac:dyDescent="0.35">
      <c r="A60" s="14" t="s">
        <v>2136</v>
      </c>
      <c r="B60" s="15"/>
      <c r="C60" s="16"/>
      <c r="D60" s="8"/>
    </row>
    <row r="61" spans="1:4" ht="12.75" customHeight="1" x14ac:dyDescent="0.35">
      <c r="A61" s="14" t="s">
        <v>2137</v>
      </c>
      <c r="B61" s="15"/>
      <c r="C61" s="16"/>
      <c r="D61" s="8"/>
    </row>
    <row r="62" spans="1:4" ht="12.75" customHeight="1" x14ac:dyDescent="0.35">
      <c r="A62" s="14" t="s">
        <v>2138</v>
      </c>
      <c r="B62" s="15"/>
      <c r="C62" s="16"/>
      <c r="D62" s="8"/>
    </row>
    <row r="63" spans="1:4" ht="12.75" customHeight="1" x14ac:dyDescent="0.35">
      <c r="A63" s="14" t="s">
        <v>2139</v>
      </c>
      <c r="B63" s="15"/>
      <c r="C63" s="16"/>
      <c r="D63" s="8"/>
    </row>
    <row r="64" spans="1:4" ht="12.75" customHeight="1" x14ac:dyDescent="0.35">
      <c r="A64" s="14" t="s">
        <v>2140</v>
      </c>
      <c r="B64" s="15"/>
      <c r="C64" s="16"/>
      <c r="D64" s="8"/>
    </row>
    <row r="65" spans="1:4" ht="12.75" customHeight="1" x14ac:dyDescent="0.35">
      <c r="A65" s="14" t="s">
        <v>2141</v>
      </c>
      <c r="B65" s="15"/>
      <c r="C65" s="16"/>
      <c r="D65" s="8"/>
    </row>
    <row r="66" spans="1:4" ht="12.75" customHeight="1" x14ac:dyDescent="0.35">
      <c r="A66" s="14" t="s">
        <v>2142</v>
      </c>
      <c r="B66" s="15"/>
      <c r="C66" s="16"/>
      <c r="D66" s="8"/>
    </row>
    <row r="67" spans="1:4" ht="12.75" customHeight="1" x14ac:dyDescent="0.35">
      <c r="A67" s="14" t="s">
        <v>2143</v>
      </c>
      <c r="B67" s="15"/>
      <c r="C67" s="16"/>
      <c r="D67" s="8"/>
    </row>
    <row r="68" spans="1:4" ht="12.75" customHeight="1" x14ac:dyDescent="0.35">
      <c r="A68" s="14" t="s">
        <v>2144</v>
      </c>
      <c r="B68" s="15"/>
      <c r="C68" s="16"/>
      <c r="D68" s="8"/>
    </row>
    <row r="69" spans="1:4" ht="12.75" customHeight="1" x14ac:dyDescent="0.35">
      <c r="A69" s="14" t="s">
        <v>2145</v>
      </c>
      <c r="B69" s="15"/>
      <c r="C69" s="16"/>
      <c r="D69" s="8"/>
    </row>
    <row r="70" spans="1:4" ht="12.75" customHeight="1" x14ac:dyDescent="0.35">
      <c r="A70" s="14" t="s">
        <v>2146</v>
      </c>
      <c r="B70" s="15"/>
      <c r="C70" s="16"/>
      <c r="D70" s="8"/>
    </row>
    <row r="71" spans="1:4" ht="12.75" customHeight="1" x14ac:dyDescent="0.35">
      <c r="A71" s="14" t="s">
        <v>2147</v>
      </c>
      <c r="B71" s="15"/>
      <c r="C71" s="16"/>
      <c r="D71" s="8"/>
    </row>
    <row r="72" spans="1:4" ht="12.75" customHeight="1" x14ac:dyDescent="0.35">
      <c r="A72" s="14" t="s">
        <v>2148</v>
      </c>
      <c r="B72" s="15"/>
      <c r="C72" s="16"/>
      <c r="D72" s="8"/>
    </row>
    <row r="73" spans="1:4" ht="12.75" customHeight="1" x14ac:dyDescent="0.35">
      <c r="A73" s="14" t="s">
        <v>2149</v>
      </c>
      <c r="B73" s="15"/>
      <c r="C73" s="16"/>
      <c r="D73" s="8"/>
    </row>
    <row r="74" spans="1:4" ht="12.75" customHeight="1" x14ac:dyDescent="0.35">
      <c r="A74" s="14" t="s">
        <v>2150</v>
      </c>
      <c r="B74" s="15"/>
      <c r="C74" s="16"/>
      <c r="D74" s="8"/>
    </row>
    <row r="75" spans="1:4" ht="12.75" customHeight="1" x14ac:dyDescent="0.35">
      <c r="A75" s="14" t="s">
        <v>2151</v>
      </c>
      <c r="B75" s="15"/>
      <c r="C75" s="16"/>
      <c r="D75" s="8"/>
    </row>
    <row r="76" spans="1:4" ht="12.75" customHeight="1" x14ac:dyDescent="0.35">
      <c r="A76" s="14" t="s">
        <v>2152</v>
      </c>
      <c r="B76" s="15"/>
      <c r="C76" s="16"/>
      <c r="D76" s="8"/>
    </row>
    <row r="77" spans="1:4" ht="12.75" customHeight="1" x14ac:dyDescent="0.35">
      <c r="A77" s="14" t="s">
        <v>2153</v>
      </c>
      <c r="B77" s="15"/>
      <c r="C77" s="16"/>
      <c r="D77" s="8"/>
    </row>
    <row r="78" spans="1:4" ht="12.75" customHeight="1" x14ac:dyDescent="0.35">
      <c r="A78" s="14" t="s">
        <v>2154</v>
      </c>
      <c r="B78" s="15"/>
      <c r="C78" s="16"/>
      <c r="D78" s="8"/>
    </row>
    <row r="79" spans="1:4" ht="12.75" customHeight="1" x14ac:dyDescent="0.35">
      <c r="A79" s="14" t="s">
        <v>2155</v>
      </c>
      <c r="B79" s="15"/>
      <c r="C79" s="16"/>
      <c r="D79" s="8"/>
    </row>
    <row r="80" spans="1:4" ht="12.75" customHeight="1" x14ac:dyDescent="0.35">
      <c r="A80" s="14" t="s">
        <v>2156</v>
      </c>
      <c r="B80" s="15"/>
      <c r="C80" s="16"/>
      <c r="D80" s="8"/>
    </row>
    <row r="81" spans="1:4" ht="12.75" customHeight="1" x14ac:dyDescent="0.35">
      <c r="A81" s="14" t="s">
        <v>2157</v>
      </c>
      <c r="B81" s="15"/>
      <c r="C81" s="16"/>
      <c r="D81" s="8"/>
    </row>
    <row r="82" spans="1:4" ht="12.75" customHeight="1" x14ac:dyDescent="0.35">
      <c r="A82" s="14" t="s">
        <v>2158</v>
      </c>
      <c r="B82" s="15"/>
      <c r="C82" s="16"/>
      <c r="D82" s="8"/>
    </row>
    <row r="83" spans="1:4" ht="12.75" customHeight="1" x14ac:dyDescent="0.35">
      <c r="A83" s="14" t="s">
        <v>2159</v>
      </c>
      <c r="B83" s="15"/>
      <c r="C83" s="16"/>
      <c r="D83" s="8"/>
    </row>
    <row r="84" spans="1:4" ht="12.75" customHeight="1" x14ac:dyDescent="0.35">
      <c r="A84" s="14" t="s">
        <v>2160</v>
      </c>
      <c r="B84" s="15"/>
      <c r="C84" s="16"/>
      <c r="D84" s="8"/>
    </row>
    <row r="85" spans="1:4" ht="12.75" customHeight="1" x14ac:dyDescent="0.35">
      <c r="A85" s="14" t="s">
        <v>2161</v>
      </c>
      <c r="B85" s="15"/>
      <c r="C85" s="16"/>
      <c r="D85" s="8"/>
    </row>
    <row r="86" spans="1:4" ht="12.75" customHeight="1" x14ac:dyDescent="0.35">
      <c r="A86" s="14" t="s">
        <v>2162</v>
      </c>
      <c r="B86" s="15"/>
      <c r="C86" s="16"/>
      <c r="D86" s="8"/>
    </row>
    <row r="87" spans="1:4" ht="12.75" customHeight="1" x14ac:dyDescent="0.35">
      <c r="A87" s="14" t="s">
        <v>2163</v>
      </c>
      <c r="B87" s="15"/>
      <c r="C87" s="16"/>
      <c r="D87" s="8"/>
    </row>
    <row r="88" spans="1:4" ht="12.75" customHeight="1" x14ac:dyDescent="0.35">
      <c r="A88" s="14" t="s">
        <v>2164</v>
      </c>
      <c r="B88" s="15"/>
      <c r="C88" s="16"/>
      <c r="D88" s="8"/>
    </row>
    <row r="89" spans="1:4" ht="12.75" customHeight="1" x14ac:dyDescent="0.35">
      <c r="A89" s="14" t="s">
        <v>2165</v>
      </c>
      <c r="B89" s="15"/>
      <c r="C89" s="16"/>
      <c r="D89" s="8"/>
    </row>
    <row r="90" spans="1:4" ht="12.75" customHeight="1" x14ac:dyDescent="0.35">
      <c r="A90" s="14" t="s">
        <v>2166</v>
      </c>
      <c r="B90" s="15"/>
      <c r="C90" s="16"/>
      <c r="D90" s="8"/>
    </row>
    <row r="91" spans="1:4" ht="12.75" customHeight="1" x14ac:dyDescent="0.35">
      <c r="A91" s="14" t="s">
        <v>2167</v>
      </c>
      <c r="B91" s="15"/>
      <c r="C91" s="16"/>
      <c r="D91" s="8"/>
    </row>
    <row r="92" spans="1:4" ht="12.75" customHeight="1" x14ac:dyDescent="0.35">
      <c r="A92" s="14" t="s">
        <v>2168</v>
      </c>
      <c r="B92" s="15"/>
      <c r="C92" s="16"/>
      <c r="D92" s="8"/>
    </row>
    <row r="93" spans="1:4" ht="12.75" customHeight="1" x14ac:dyDescent="0.35">
      <c r="A93" s="14" t="s">
        <v>2169</v>
      </c>
      <c r="B93" s="15"/>
      <c r="C93" s="16"/>
      <c r="D93" s="8"/>
    </row>
    <row r="94" spans="1:4" ht="12.75" customHeight="1" x14ac:dyDescent="0.35">
      <c r="A94" s="14" t="s">
        <v>2170</v>
      </c>
      <c r="B94" s="15"/>
      <c r="C94" s="16"/>
      <c r="D94" s="8"/>
    </row>
    <row r="95" spans="1:4" ht="12.75" customHeight="1" x14ac:dyDescent="0.35">
      <c r="A95" s="14" t="s">
        <v>2171</v>
      </c>
      <c r="B95" s="15"/>
      <c r="C95" s="16"/>
      <c r="D95" s="8"/>
    </row>
    <row r="96" spans="1:4" ht="12.75" customHeight="1" x14ac:dyDescent="0.35">
      <c r="A96" s="14" t="s">
        <v>2172</v>
      </c>
      <c r="B96" s="15"/>
      <c r="C96" s="16"/>
      <c r="D96" s="8"/>
    </row>
    <row r="97" spans="1:4" ht="12.75" customHeight="1" x14ac:dyDescent="0.35">
      <c r="A97" s="14" t="s">
        <v>2173</v>
      </c>
      <c r="B97" s="15"/>
      <c r="C97" s="16"/>
      <c r="D97" s="8"/>
    </row>
    <row r="98" spans="1:4" ht="12.75" customHeight="1" x14ac:dyDescent="0.35">
      <c r="A98" s="14" t="s">
        <v>2174</v>
      </c>
      <c r="B98" s="15"/>
      <c r="C98" s="16"/>
      <c r="D98" s="8"/>
    </row>
    <row r="99" spans="1:4" ht="12.75" customHeight="1" x14ac:dyDescent="0.35">
      <c r="A99" s="14" t="s">
        <v>2175</v>
      </c>
      <c r="B99" s="15"/>
      <c r="C99" s="16"/>
      <c r="D99" s="8"/>
    </row>
    <row r="100" spans="1:4" ht="12.75" customHeight="1" x14ac:dyDescent="0.35">
      <c r="A100" s="14" t="s">
        <v>2176</v>
      </c>
      <c r="B100" s="15"/>
      <c r="C100" s="16"/>
      <c r="D100" s="8"/>
    </row>
    <row r="101" spans="1:4" ht="12.75" customHeight="1" x14ac:dyDescent="0.35">
      <c r="A101" s="14" t="s">
        <v>2177</v>
      </c>
      <c r="B101" s="15"/>
      <c r="C101" s="16"/>
      <c r="D101" s="8"/>
    </row>
    <row r="102" spans="1:4" ht="12.75" customHeight="1" x14ac:dyDescent="0.35">
      <c r="A102" s="14" t="s">
        <v>2178</v>
      </c>
      <c r="B102" s="15"/>
      <c r="C102" s="16"/>
      <c r="D102" s="8"/>
    </row>
    <row r="103" spans="1:4" ht="4" customHeight="1" x14ac:dyDescent="0.35">
      <c r="A103" s="209"/>
      <c r="B103" s="209"/>
      <c r="C103" s="209"/>
      <c r="D103" s="8"/>
    </row>
  </sheetData>
  <sheetProtection password="B01E" sheet="1" objects="1" scenarios="1" formatCells="0"/>
  <printOptions horizontalCentered="1"/>
  <pageMargins left="0.35433070866141736" right="0.35433070866141736" top="0.78740157480314965" bottom="0.78740157480314965" header="0.51181102362204722" footer="0.51181102362204722"/>
  <pageSetup paperSize="9" scale="8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7"/>
  <dimension ref="A1:C50"/>
  <sheetViews>
    <sheetView workbookViewId="0">
      <pane ySplit="1" topLeftCell="A8" activePane="bottomLeft" state="frozen"/>
      <selection pane="bottomLeft" activeCell="J21" sqref="J21:J22"/>
    </sheetView>
  </sheetViews>
  <sheetFormatPr defaultRowHeight="14.5" x14ac:dyDescent="0.35"/>
  <cols>
    <col min="1" max="3" width="10.7265625" customWidth="1"/>
  </cols>
  <sheetData>
    <row r="1" spans="1:3" x14ac:dyDescent="0.35">
      <c r="A1" t="s">
        <v>5188</v>
      </c>
      <c r="B1" t="s">
        <v>5189</v>
      </c>
      <c r="C1" t="s">
        <v>5190</v>
      </c>
    </row>
    <row r="2" spans="1:3" x14ac:dyDescent="0.35">
      <c r="C2" s="220" t="str">
        <f ca="1">NotInUseTxt</f>
        <v>&lt; Not in use &gt;</v>
      </c>
    </row>
    <row r="3" spans="1:3" x14ac:dyDescent="0.35">
      <c r="A3" t="str">
        <f>Calculations!$E$19</f>
        <v>C0500</v>
      </c>
      <c r="B3">
        <f>ROW(Calculations!$E$19)</f>
        <v>19</v>
      </c>
      <c r="C3" t="str">
        <f ca="1">IF(VarIncludeRows,"("&amp;B3&amp;") ","")&amp;TRIM(OFFSET(Calculations!$E$1,B3-1,-3)&amp;" "&amp;OFFSET(Calculations!$E$1,B3-1,-2))</f>
        <v>(19) 1 Machine 1</v>
      </c>
    </row>
    <row r="4" spans="1:3" x14ac:dyDescent="0.35">
      <c r="A4" t="str">
        <f>Calculations!$E$29</f>
        <v>C0600</v>
      </c>
      <c r="B4">
        <f>ROW(Calculations!$E$29)</f>
        <v>29</v>
      </c>
      <c r="C4" t="str">
        <f ca="1">IF(VarIncludeRows,"("&amp;B4&amp;") ","")&amp;TRIM(OFFSET(Calculations!$E$1,B4-1,-3)&amp;" "&amp;OFFSET(Calculations!$E$1,B4-1,-2))</f>
        <v>(29) 2 Production hall</v>
      </c>
    </row>
    <row r="5" spans="1:3" x14ac:dyDescent="0.35">
      <c r="A5" t="str">
        <f>Calculations!$E$39</f>
        <v>C0700</v>
      </c>
      <c r="B5">
        <f>ROW(Calculations!$E$39)</f>
        <v>39</v>
      </c>
      <c r="C5" t="str">
        <f ca="1">IF(VarIncludeRows,"("&amp;B5&amp;") ","")&amp;TRIM(OFFSET(Calculations!$E$1,B5-1,-3)&amp;" "&amp;OFFSET(Calculations!$E$1,B5-1,-2))</f>
        <v>(39) 3 Maintenance</v>
      </c>
    </row>
    <row r="6" spans="1:3" x14ac:dyDescent="0.35">
      <c r="A6" t="str">
        <f>Calculations!$E$49</f>
        <v>C0800</v>
      </c>
      <c r="B6">
        <f>ROW(Calculations!$E$49)</f>
        <v>49</v>
      </c>
      <c r="C6" t="str">
        <f ca="1">IF(VarIncludeRows,"("&amp;B6&amp;") ","")&amp;TRIM(OFFSET(Calculations!$E$1,B6-1,-3)&amp;" "&amp;OFFSET(Calculations!$E$1,B6-1,-2))</f>
        <v>(49) 4</v>
      </c>
    </row>
    <row r="7" spans="1:3" x14ac:dyDescent="0.35">
      <c r="A7" t="str">
        <f>Calculations!$E$443</f>
        <v>C9000</v>
      </c>
      <c r="B7">
        <f>ROW(Calculations!$E$443)</f>
        <v>443</v>
      </c>
      <c r="C7" t="str">
        <f ca="1">IF(VarIncludeRows,"("&amp;B7&amp;") ","")&amp;TRIM(OFFSET(Calculations!$E$1,B7-1,-3)&amp;" "&amp;OFFSET(Calculations!$E$1,B7-1,-2))</f>
        <v>(443) Sales</v>
      </c>
    </row>
    <row r="8" spans="1:3" x14ac:dyDescent="0.35">
      <c r="A8" t="str">
        <f>Calculations!$E$444</f>
        <v>C9000S01</v>
      </c>
      <c r="B8">
        <f>ROW(Calculations!$E$444)</f>
        <v>444</v>
      </c>
      <c r="C8" t="str">
        <f ca="1">IF(VarIncludeRows,"("&amp;B8&amp;") ","")&amp;TRIM(OFFSET(Calculations!$E$1,B8-1,-3)&amp;" "&amp;OFFSET(Calculations!$E$1,B8-1,-2))</f>
        <v>(444) + Capacity / month</v>
      </c>
    </row>
    <row r="9" spans="1:3" x14ac:dyDescent="0.35">
      <c r="A9" t="str">
        <f>Calculations!$E$445</f>
        <v>C9000S02</v>
      </c>
      <c r="B9">
        <f>ROW(Calculations!$E$445)</f>
        <v>445</v>
      </c>
      <c r="C9" t="str">
        <f ca="1">IF(VarIncludeRows,"("&amp;B9&amp;") ","")&amp;TRIM(OFFSET(Calculations!$E$1,B9-1,-3)&amp;" "&amp;OFFSET(Calculations!$E$1,B9-1,-2))</f>
        <v>(445) * Utilization rate</v>
      </c>
    </row>
    <row r="10" spans="1:3" x14ac:dyDescent="0.35">
      <c r="A10" t="str">
        <f>Calculations!$E$446</f>
        <v>C9000S03</v>
      </c>
      <c r="B10">
        <f>ROW(Calculations!$E$446)</f>
        <v>446</v>
      </c>
      <c r="C10" t="str">
        <f ca="1">IF(VarIncludeRows,"("&amp;B10&amp;") ","")&amp;TRIM(OFFSET(Calculations!$E$1,B10-1,-3)&amp;" "&amp;OFFSET(Calculations!$E$1,B10-1,-2))</f>
        <v>(446) * Price / meter</v>
      </c>
    </row>
    <row r="11" spans="1:3" x14ac:dyDescent="0.35">
      <c r="A11" t="str">
        <f>Calculations!$E$458</f>
        <v>C2040</v>
      </c>
      <c r="B11">
        <f>ROW(Calculations!$E$458)</f>
        <v>458</v>
      </c>
      <c r="C11" t="str">
        <f ca="1">IF(VarIncludeRows,"("&amp;B11&amp;") ","")&amp;TRIM(OFFSET(Calculations!$E$1,B11-1,-3)&amp;" "&amp;OFFSET(Calculations!$E$1,B11-1,-2))</f>
        <v>(458) Other operating income</v>
      </c>
    </row>
    <row r="12" spans="1:3" x14ac:dyDescent="0.35">
      <c r="A12" t="str">
        <f>Calculations!$E$460</f>
        <v>C2060</v>
      </c>
      <c r="B12">
        <f>ROW(Calculations!$E$460)</f>
        <v>460</v>
      </c>
      <c r="C12" t="str">
        <f ca="1">IF(VarIncludeRows,"("&amp;B12&amp;") ","")&amp;TRIM(OFFSET(Calculations!$E$1,B12-1,-3)&amp;" "&amp;OFFSET(Calculations!$E$1,B12-1,-2))</f>
        <v>(460) Raw materials and consumables</v>
      </c>
    </row>
    <row r="13" spans="1:3" x14ac:dyDescent="0.35">
      <c r="A13" t="str">
        <f>Calculations!$E$461</f>
        <v>C2060S01</v>
      </c>
      <c r="B13">
        <f>ROW(Calculations!$E$461)</f>
        <v>461</v>
      </c>
      <c r="C13" t="str">
        <f ca="1">IF(VarIncludeRows,"("&amp;B13&amp;") ","")&amp;TRIM(OFFSET(Calculations!$E$1,B13-1,-3)&amp;" "&amp;OFFSET(Calculations!$E$1,B13-1,-2))</f>
        <v>(461) + Other variable costs</v>
      </c>
    </row>
    <row r="14" spans="1:3" x14ac:dyDescent="0.35">
      <c r="A14" t="str">
        <f>Calculations!$E$462</f>
        <v>C2060S02</v>
      </c>
      <c r="B14">
        <f>ROW(Calculations!$E$462)</f>
        <v>462</v>
      </c>
      <c r="C14" t="str">
        <f ca="1">IF(VarIncludeRows,"("&amp;B14&amp;") ","")&amp;TRIM(OFFSET(Calculations!$E$1,B14-1,-3)&amp;" "&amp;OFFSET(Calculations!$E$1,B14-1,-2))</f>
        <v>(462) Variable cost-%</v>
      </c>
    </row>
    <row r="15" spans="1:3" x14ac:dyDescent="0.35">
      <c r="A15" t="str">
        <f>Calculations!$E$478</f>
        <v>C2173</v>
      </c>
      <c r="B15">
        <f>ROW(Calculations!$E$478)</f>
        <v>478</v>
      </c>
      <c r="C15" t="str">
        <f ca="1">IF(VarIncludeRows,"("&amp;B15&amp;") ","")&amp;TRIM(OFFSET(Calculations!$E$1,B15-1,-3)&amp;" "&amp;OFFSET(Calculations!$E$1,B15-1,-2))</f>
        <v>(478) Other fixed costs</v>
      </c>
    </row>
    <row r="16" spans="1:3" x14ac:dyDescent="0.35">
      <c r="A16" t="str">
        <f>Calculations!$E$446</f>
        <v>C9000S03</v>
      </c>
      <c r="B16">
        <f>ROW(Calculations!$E$446)</f>
        <v>446</v>
      </c>
    </row>
    <row r="17" spans="1:2" x14ac:dyDescent="0.35">
      <c r="A17" t="str">
        <f>Calculations!$E$458</f>
        <v>C2040</v>
      </c>
      <c r="B17">
        <f>ROW(Calculations!$E$458)</f>
        <v>458</v>
      </c>
    </row>
    <row r="18" spans="1:2" x14ac:dyDescent="0.35">
      <c r="A18" t="str">
        <f>Calculations!$E$460</f>
        <v>C2060</v>
      </c>
      <c r="B18">
        <f>ROW(Calculations!$E$460)</f>
        <v>460</v>
      </c>
    </row>
    <row r="19" spans="1:2" x14ac:dyDescent="0.35">
      <c r="A19" t="str">
        <f>Calculations!$E$461</f>
        <v>C2060S01</v>
      </c>
      <c r="B19">
        <f>ROW(Calculations!$E$461)</f>
        <v>461</v>
      </c>
    </row>
    <row r="20" spans="1:2" x14ac:dyDescent="0.35">
      <c r="A20" t="str">
        <f>Calculations!$E$462</f>
        <v>C2060S02</v>
      </c>
      <c r="B20">
        <f>ROW(Calculations!$E$462)</f>
        <v>462</v>
      </c>
    </row>
    <row r="21" spans="1:2" x14ac:dyDescent="0.35">
      <c r="A21" t="str">
        <f>Calculations!$E$478</f>
        <v>C2173</v>
      </c>
      <c r="B21">
        <f>ROW(Calculations!$E$478)</f>
        <v>478</v>
      </c>
    </row>
    <row r="22" spans="1:2" x14ac:dyDescent="0.35">
      <c r="A22" t="str">
        <f>Calculations!$E$464</f>
        <v>C2100</v>
      </c>
      <c r="B22">
        <f>ROW(Calculations!$E$464)</f>
        <v>464</v>
      </c>
    </row>
    <row r="23" spans="1:2" x14ac:dyDescent="0.35">
      <c r="A23" t="str">
        <f>Calculations!$E$465</f>
        <v>C2110</v>
      </c>
      <c r="B23">
        <f>ROW(Calculations!$E$465)</f>
        <v>465</v>
      </c>
    </row>
    <row r="24" spans="1:2" x14ac:dyDescent="0.35">
      <c r="A24" t="str">
        <f>Calculations!$E$466</f>
        <v>C2113</v>
      </c>
      <c r="B24">
        <f>ROW(Calculations!$E$466)</f>
        <v>466</v>
      </c>
    </row>
    <row r="25" spans="1:2" x14ac:dyDescent="0.35">
      <c r="A25" t="str">
        <f>Calculations!$E$467</f>
        <v>C2116</v>
      </c>
      <c r="B25">
        <f>ROW(Calculations!$E$467)</f>
        <v>467</v>
      </c>
    </row>
    <row r="26" spans="1:2" x14ac:dyDescent="0.35">
      <c r="A26" t="str">
        <f>Calculations!$E$468</f>
        <v>C2114</v>
      </c>
      <c r="B26">
        <f>ROW(Calculations!$E$468)</f>
        <v>468</v>
      </c>
    </row>
    <row r="27" spans="1:2" x14ac:dyDescent="0.35">
      <c r="A27" t="str">
        <f>Calculations!$E$469</f>
        <v>C2115</v>
      </c>
      <c r="B27">
        <f>ROW(Calculations!$E$469)</f>
        <v>469</v>
      </c>
    </row>
    <row r="28" spans="1:2" x14ac:dyDescent="0.35">
      <c r="A28" t="str">
        <f>Calculations!$E$470</f>
        <v>C2117</v>
      </c>
      <c r="B28">
        <f>ROW(Calculations!$E$470)</f>
        <v>470</v>
      </c>
    </row>
    <row r="29" spans="1:2" x14ac:dyDescent="0.35">
      <c r="A29" t="str">
        <f>Calculations!$E$471</f>
        <v>C2118</v>
      </c>
      <c r="B29">
        <f>ROW(Calculations!$E$471)</f>
        <v>471</v>
      </c>
    </row>
    <row r="30" spans="1:2" x14ac:dyDescent="0.35">
      <c r="A30" t="str">
        <f>Calculations!$E$476</f>
        <v>C2160</v>
      </c>
      <c r="B30">
        <f>ROW(Calculations!$E$476)</f>
        <v>476</v>
      </c>
    </row>
    <row r="31" spans="1:2" x14ac:dyDescent="0.35">
      <c r="A31" t="str">
        <f>Calculations!$E$477</f>
        <v>C2170</v>
      </c>
      <c r="B31">
        <f>ROW(Calculations!$E$477)</f>
        <v>477</v>
      </c>
    </row>
    <row r="32" spans="1:2" x14ac:dyDescent="0.35">
      <c r="A32" t="str">
        <f>Calculations!$E$478</f>
        <v>C2173</v>
      </c>
      <c r="B32">
        <f>ROW(Calculations!$E$478)</f>
        <v>478</v>
      </c>
    </row>
    <row r="33" spans="1:2" x14ac:dyDescent="0.35">
      <c r="A33" t="str">
        <f>Calculations!$E$479</f>
        <v>C2175</v>
      </c>
      <c r="B33">
        <f>ROW(Calculations!$E$479)</f>
        <v>479</v>
      </c>
    </row>
    <row r="34" spans="1:2" x14ac:dyDescent="0.35">
      <c r="A34" t="str">
        <f>Calculations!$E$480</f>
        <v>C2177</v>
      </c>
      <c r="B34">
        <f>ROW(Calculations!$E$480)</f>
        <v>480</v>
      </c>
    </row>
    <row r="35" spans="1:2" x14ac:dyDescent="0.35">
      <c r="A35" t="str">
        <f>Calculations!$E$481</f>
        <v>C2180</v>
      </c>
      <c r="B35">
        <f>ROW(Calculations!$E$481)</f>
        <v>481</v>
      </c>
    </row>
    <row r="36" spans="1:2" x14ac:dyDescent="0.35">
      <c r="A36" t="str">
        <f>Calculations!$E$482</f>
        <v>C2181</v>
      </c>
      <c r="B36">
        <f>ROW(Calculations!$E$482)</f>
        <v>482</v>
      </c>
    </row>
    <row r="37" spans="1:2" x14ac:dyDescent="0.35">
      <c r="A37" t="str">
        <f>Calculations!$E$483</f>
        <v>C2182</v>
      </c>
      <c r="B37">
        <f>ROW(Calculations!$E$483)</f>
        <v>483</v>
      </c>
    </row>
    <row r="38" spans="1:2" x14ac:dyDescent="0.35">
      <c r="A38" t="str">
        <f>Calculations!$E$484</f>
        <v>C2183</v>
      </c>
      <c r="B38">
        <f>ROW(Calculations!$E$484)</f>
        <v>484</v>
      </c>
    </row>
    <row r="39" spans="1:2" x14ac:dyDescent="0.35">
      <c r="A39" t="str">
        <f>Calculations!$E$485</f>
        <v>C2184</v>
      </c>
      <c r="B39">
        <f>ROW(Calculations!$E$485)</f>
        <v>485</v>
      </c>
    </row>
    <row r="40" spans="1:2" x14ac:dyDescent="0.35">
      <c r="A40" t="str">
        <f>Calculations!$E$486</f>
        <v>C2185</v>
      </c>
      <c r="B40">
        <f>ROW(Calculations!$E$486)</f>
        <v>486</v>
      </c>
    </row>
    <row r="41" spans="1:2" x14ac:dyDescent="0.35">
      <c r="A41" t="str">
        <f>Calculations!$E$478</f>
        <v>C2173</v>
      </c>
      <c r="B41">
        <f>ROW(Calculations!$E$478)</f>
        <v>478</v>
      </c>
    </row>
    <row r="42" spans="1:2" x14ac:dyDescent="0.35">
      <c r="A42" t="str">
        <f>Calculations!$E$479</f>
        <v>C2175</v>
      </c>
      <c r="B42">
        <f>ROW(Calculations!$E$479)</f>
        <v>479</v>
      </c>
    </row>
    <row r="43" spans="1:2" x14ac:dyDescent="0.35">
      <c r="A43" t="str">
        <f>Calculations!$E$480</f>
        <v>C2177</v>
      </c>
      <c r="B43">
        <f>ROW(Calculations!$E$480)</f>
        <v>480</v>
      </c>
    </row>
    <row r="44" spans="1:2" x14ac:dyDescent="0.35">
      <c r="A44" t="str">
        <f>Calculations!$E$481</f>
        <v>C2180</v>
      </c>
      <c r="B44">
        <f>ROW(Calculations!$E$481)</f>
        <v>481</v>
      </c>
    </row>
    <row r="45" spans="1:2" x14ac:dyDescent="0.35">
      <c r="A45" t="str">
        <f>Calculations!$E$482</f>
        <v>C2181</v>
      </c>
      <c r="B45">
        <f>ROW(Calculations!$E$482)</f>
        <v>482</v>
      </c>
    </row>
    <row r="46" spans="1:2" x14ac:dyDescent="0.35">
      <c r="A46" t="str">
        <f>Calculations!$E$483</f>
        <v>C2182</v>
      </c>
      <c r="B46">
        <f>ROW(Calculations!$E$483)</f>
        <v>483</v>
      </c>
    </row>
    <row r="47" spans="1:2" x14ac:dyDescent="0.35">
      <c r="A47" t="str">
        <f>Calculations!$E$484</f>
        <v>C2183</v>
      </c>
      <c r="B47">
        <f>ROW(Calculations!$E$484)</f>
        <v>484</v>
      </c>
    </row>
    <row r="48" spans="1:2" x14ac:dyDescent="0.35">
      <c r="A48" t="str">
        <f>Calculations!$E$485</f>
        <v>C2184</v>
      </c>
      <c r="B48">
        <f>ROW(Calculations!$E$485)</f>
        <v>485</v>
      </c>
    </row>
    <row r="49" spans="1:2" x14ac:dyDescent="0.35">
      <c r="A49" t="str">
        <f>Calculations!$E$486</f>
        <v>C2185</v>
      </c>
      <c r="B49">
        <f>ROW(Calculations!$E$486)</f>
        <v>486</v>
      </c>
    </row>
    <row r="50" spans="1:2" x14ac:dyDescent="0.35">
      <c r="A50" t="str">
        <f>Calculations!$E$487</f>
        <v>C2186</v>
      </c>
      <c r="B50">
        <f>ROW(Calculations!$E$487)</f>
        <v>487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A13"/>
  <sheetViews>
    <sheetView workbookViewId="0">
      <selection activeCell="AA5" sqref="AA5"/>
    </sheetView>
  </sheetViews>
  <sheetFormatPr defaultRowHeight="14.5" x14ac:dyDescent="0.35"/>
  <cols>
    <col min="6" max="6" width="9.453125" bestFit="1" customWidth="1"/>
    <col min="7" max="7" width="9.54296875" bestFit="1" customWidth="1"/>
    <col min="8" max="12" width="9.7265625" bestFit="1" customWidth="1"/>
    <col min="13" max="13" width="9.54296875" bestFit="1" customWidth="1"/>
    <col min="14" max="16" width="9.26953125" bestFit="1" customWidth="1"/>
  </cols>
  <sheetData>
    <row r="1" spans="1:27" x14ac:dyDescent="0.35">
      <c r="A1" s="1382" t="s">
        <v>6246</v>
      </c>
      <c r="F1" t="str">
        <f>Calculations!F3&amp;TEXT(Calculations!F1,"00")</f>
        <v>201812</v>
      </c>
      <c r="G1" t="str">
        <f>Calculations!G3&amp;TEXT(Calculations!G1,"00")</f>
        <v>201909</v>
      </c>
      <c r="H1" t="str">
        <f>Calculations!H3&amp;TEXT(Calculations!H1,"00")</f>
        <v>201909</v>
      </c>
      <c r="I1" t="str">
        <f>Calculations!I3&amp;TEXT(Calculations!I1,"00")</f>
        <v>201910</v>
      </c>
      <c r="J1" t="str">
        <f>Calculations!J3&amp;TEXT(Calculations!J1,"00")</f>
        <v>201911</v>
      </c>
      <c r="K1" t="str">
        <f>Calculations!K3&amp;TEXT(Calculations!K1,"00")</f>
        <v>201912</v>
      </c>
      <c r="L1" t="str">
        <f>Calculations!L3&amp;TEXT(Calculations!L1,"00")</f>
        <v>202012</v>
      </c>
      <c r="M1" t="str">
        <f>Calculations!M3&amp;TEXT(Calculations!M1,"00")</f>
        <v>202112</v>
      </c>
      <c r="N1" t="str">
        <f>Calculations!N3&amp;TEXT(Calculations!N1,"00")</f>
        <v>202212</v>
      </c>
      <c r="O1" t="str">
        <f>Calculations!O3&amp;TEXT(Calculations!O1,"00")</f>
        <v>202312</v>
      </c>
      <c r="P1" t="str">
        <f>Calculations!P3&amp;TEXT(Calculations!P1,"00")</f>
        <v>202412</v>
      </c>
      <c r="Q1" t="str">
        <f ca="1">Calculations!Q3&amp;TEXT(Calculations!Q1,"00")</f>
        <v>202412</v>
      </c>
    </row>
    <row r="2" spans="1:27" x14ac:dyDescent="0.35">
      <c r="L2">
        <f>ROW(Calculations!$E$318)</f>
        <v>318</v>
      </c>
    </row>
    <row r="5" spans="1:27" x14ac:dyDescent="0.35">
      <c r="A5" t="s">
        <v>6261</v>
      </c>
      <c r="B5" t="str">
        <f ca="1">""&amp;OFFSET($S5,0,Language)</f>
        <v>Cash flow</v>
      </c>
      <c r="D5">
        <v>1</v>
      </c>
      <c r="E5">
        <v>4</v>
      </c>
      <c r="T5" s="1383" t="s">
        <v>6262</v>
      </c>
      <c r="U5" t="s">
        <v>6278</v>
      </c>
      <c r="V5" t="s">
        <v>6279</v>
      </c>
      <c r="W5" t="s">
        <v>6280</v>
      </c>
      <c r="X5" t="s">
        <v>6281</v>
      </c>
      <c r="Y5" t="s">
        <v>6282</v>
      </c>
      <c r="Z5" t="s">
        <v>6283</v>
      </c>
      <c r="AA5" t="s">
        <v>6284</v>
      </c>
    </row>
    <row r="6" spans="1:27" x14ac:dyDescent="0.35">
      <c r="B6" t="str">
        <f>IF(Figures&gt;1,Figures,"")&amp;" "&amp;Currency</f>
        <v xml:space="preserve"> Euro</v>
      </c>
      <c r="F6">
        <v>11</v>
      </c>
      <c r="G6">
        <v>12</v>
      </c>
      <c r="H6">
        <v>13</v>
      </c>
      <c r="I6">
        <v>14</v>
      </c>
    </row>
    <row r="7" spans="1:27" x14ac:dyDescent="0.35">
      <c r="F7">
        <f>COLUMN(Calculations!$K$11)</f>
        <v>11</v>
      </c>
      <c r="G7">
        <f>COLUMN(Calculations!$L$11)</f>
        <v>12</v>
      </c>
      <c r="H7">
        <f>COLUMN(Calculations!$M$11)</f>
        <v>13</v>
      </c>
      <c r="I7">
        <f>COLUMN(Calculations!$N$11)</f>
        <v>14</v>
      </c>
    </row>
    <row r="8" spans="1:27" x14ac:dyDescent="0.35">
      <c r="F8" s="1382" t="s">
        <v>6217</v>
      </c>
      <c r="G8" s="1382" t="s">
        <v>6219</v>
      </c>
      <c r="H8" s="1382" t="s">
        <v>6221</v>
      </c>
      <c r="I8" s="1382" t="s">
        <v>6223</v>
      </c>
      <c r="J8" s="1382"/>
      <c r="K8" s="1382"/>
      <c r="L8" s="1382"/>
      <c r="M8" s="1382"/>
      <c r="N8" s="1382"/>
    </row>
    <row r="9" spans="1:27" x14ac:dyDescent="0.35">
      <c r="F9" s="1382" t="s">
        <v>6217</v>
      </c>
      <c r="G9" s="1382" t="s">
        <v>6219</v>
      </c>
      <c r="H9" s="1382" t="s">
        <v>6221</v>
      </c>
      <c r="I9" s="1382" t="s">
        <v>6223</v>
      </c>
      <c r="J9" s="1382"/>
    </row>
    <row r="10" spans="1:27" x14ac:dyDescent="0.35">
      <c r="A10" t="s">
        <v>1031</v>
      </c>
      <c r="B10">
        <v>680</v>
      </c>
      <c r="C10">
        <f>ROW(Calculations!$E$680)</f>
        <v>680</v>
      </c>
      <c r="D10" t="s">
        <v>6263</v>
      </c>
      <c r="E10" t="str">
        <f ca="1">TRIM(IF(D10&gt;=$L$2,IF(CELL("Format",Calculations!$B$680)&lt;&gt;"H",IF(OR(ISERROR(FIND(LEFT(Calculations!$B$680,1),"+-*/")),Calculations!$B$680=""),Calculations!$B$680&amp;" ",RIGHT(Calculations!$B$680,LEN(Calculations!$B$680)-1)&amp;" "),""),IF(Calculations!$C$680="",Calculations!$B$680,""))&amp;Calculations!$C$680)</f>
        <v>Free cash flow (FCF)</v>
      </c>
      <c r="F10" s="1384">
        <f ca="1">SUMIF(Calculations!$F$16:$Q$16,"*"&amp;RIGHT($F$9,4),Calculations!$F$680:$Q$680)</f>
        <v>-3938537.4619388129</v>
      </c>
      <c r="G10" s="1384">
        <f ca="1">SUMIF(Calculations!$F$16:$Q$16,"*"&amp;RIGHT($G$9,4),Calculations!$F$680:$Q$680)</f>
        <v>1305902.8051232728</v>
      </c>
      <c r="H10" s="1384">
        <f ca="1">SUMIF(Calculations!$F$16:$Q$16,"*"&amp;RIGHT($H$9,4),Calculations!$F$680:$Q$680)</f>
        <v>1734438.0116514824</v>
      </c>
      <c r="I10" s="1384">
        <f ca="1">SUMIF(Calculations!$F$16:$Q$16,"*"&amp;RIGHT($I$9,4),Calculations!$F$680:$Q$680)</f>
        <v>2594656.1580230654</v>
      </c>
      <c r="J10" s="1384"/>
      <c r="K10" s="1384"/>
      <c r="L10" s="1384"/>
      <c r="M10" s="1384"/>
      <c r="N10" s="1384"/>
    </row>
    <row r="11" spans="1:27" x14ac:dyDescent="0.35">
      <c r="A11" t="s">
        <v>1033</v>
      </c>
      <c r="B11">
        <v>682</v>
      </c>
      <c r="C11">
        <f>ROW(Calculations!$E$682)</f>
        <v>682</v>
      </c>
      <c r="D11" t="s">
        <v>6264</v>
      </c>
      <c r="E11" t="str">
        <f ca="1">TRIM(IF(D11&gt;=$L$2,IF(CELL("Format",Calculations!$B$682)&lt;&gt;"H",IF(OR(ISERROR(FIND(LEFT(Calculations!$B$682,1),"+-*/")),Calculations!$B$682=""),Calculations!$B$682&amp;" ",RIGHT(Calculations!$B$682,LEN(Calculations!$B$682)-1)&amp;" "),""),IF(Calculations!$C$682="",Calculations!$B$682,""))&amp;Calculations!$C$682)</f>
        <v>Cumulative discounted free cash flow</v>
      </c>
      <c r="F11" s="1384">
        <f ca="1">SUMIF(Calculations!$F$16:$Q$16,FinMonth&amp;"/"&amp;RIGHT($F$9,4),Calculations!$F$682:$Q$682)</f>
        <v>-3924249.8769574608</v>
      </c>
      <c r="G11" s="1384">
        <f ca="1">SUMIF(Calculations!$F$16:$Q$16,FinMonth&amp;"/"&amp;RIGHT($G$9,4),Calculations!$F$682:$Q$682)</f>
        <v>-2664739.507511653</v>
      </c>
      <c r="H11" s="1384">
        <f ca="1">SUMIF(Calculations!$F$16:$Q$16,FinMonth&amp;"/"&amp;RIGHT($H$9,4),Calculations!$F$682:$Q$682)</f>
        <v>-1036689.1089818352</v>
      </c>
      <c r="I11" s="1384">
        <f ca="1">SUMIF(Calculations!$F$16:$Q$16,FinMonth&amp;"/"&amp;RIGHT($I$9,4),Calculations!$F$682:$Q$682)</f>
        <v>1333631.2410902111</v>
      </c>
      <c r="J11" s="1384"/>
      <c r="K11" s="1384"/>
      <c r="L11" s="1384"/>
      <c r="M11" s="1384"/>
      <c r="N11" s="1384"/>
    </row>
    <row r="12" spans="1:27" x14ac:dyDescent="0.35">
      <c r="A12" t="s">
        <v>1083</v>
      </c>
      <c r="B12">
        <v>708</v>
      </c>
      <c r="C12">
        <f>ROW(Calculations!$E$708)</f>
        <v>708</v>
      </c>
      <c r="D12" t="s">
        <v>1082</v>
      </c>
      <c r="E12" t="str">
        <f ca="1">TRIM(IF(D12&gt;=$L$2,IF(CELL("Format",Calculations!$B$708)&lt;&gt;"H",IF(OR(ISERROR(FIND(LEFT(Calculations!$B$708,1),"+-*/")),Calculations!$B$708=""),Calculations!$B$708&amp;" ",RIGHT(Calculations!$B$708,LEN(Calculations!$B$708)-1)&amp;" "),""),IF(Calculations!$C$708="",Calculations!$B$708,""))&amp;Calculations!$C$708)</f>
        <v>Cumulative total cash flow</v>
      </c>
      <c r="F12" s="1384">
        <f ca="1">SUMIF(Calculations!$F$16:$Q$16,FinMonth&amp;"/"&amp;RIGHT($F$9,4),Calculations!$F$708:$Q$708)</f>
        <v>-3938537.4619388129</v>
      </c>
      <c r="G12" s="1384">
        <f ca="1">SUMIF(Calculations!$F$16:$Q$16,FinMonth&amp;"/"&amp;RIGHT($G$9,4),Calculations!$F$708:$Q$708)</f>
        <v>-2632634.65681554</v>
      </c>
      <c r="H12" s="1384">
        <f ca="1">SUMIF(Calculations!$F$16:$Q$16,FinMonth&amp;"/"&amp;RIGHT($H$9,4),Calculations!$F$708:$Q$708)</f>
        <v>-898196.64516405761</v>
      </c>
      <c r="I12" s="1384">
        <f ca="1">SUMIF(Calculations!$F$16:$Q$16,FinMonth&amp;"/"&amp;RIGHT($I$9,4),Calculations!$F$708:$Q$708)</f>
        <v>1696459.5128590078</v>
      </c>
      <c r="J12" s="1384"/>
      <c r="K12" s="1384"/>
      <c r="L12" s="1384"/>
      <c r="M12" s="1384"/>
      <c r="N12" s="1384"/>
    </row>
    <row r="13" spans="1:27" x14ac:dyDescent="0.35">
      <c r="A13" t="s">
        <v>6265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3</vt:i4>
      </vt:variant>
      <vt:variant>
        <vt:lpstr>Named Ranges</vt:lpstr>
      </vt:variant>
      <vt:variant>
        <vt:i4>224</vt:i4>
      </vt:variant>
    </vt:vector>
  </HeadingPairs>
  <TitlesOfParts>
    <vt:vector size="231" baseType="lpstr">
      <vt:lpstr>Basic Values</vt:lpstr>
      <vt:lpstr>Calculations</vt:lpstr>
      <vt:lpstr>Result</vt:lpstr>
      <vt:lpstr>Analysis</vt:lpstr>
      <vt:lpstr>Cash flow</vt:lpstr>
      <vt:lpstr>Spider</vt:lpstr>
      <vt:lpstr>Tornado</vt:lpstr>
      <vt:lpstr>_Tax1</vt:lpstr>
      <vt:lpstr>_Tax2</vt:lpstr>
      <vt:lpstr>_Tax3</vt:lpstr>
      <vt:lpstr>_Tax4</vt:lpstr>
      <vt:lpstr>_Tax5</vt:lpstr>
      <vt:lpstr>AFactorList2</vt:lpstr>
      <vt:lpstr>AFactorRanges2</vt:lpstr>
      <vt:lpstr>AllTxt</vt:lpstr>
      <vt:lpstr>AvgOperMarg</vt:lpstr>
      <vt:lpstr>BalanceTable</vt:lpstr>
      <vt:lpstr>BalanceTable0</vt:lpstr>
      <vt:lpstr>BalanceTableFull</vt:lpstr>
      <vt:lpstr>BalDeprPerc13</vt:lpstr>
      <vt:lpstr>BasicValues</vt:lpstr>
      <vt:lpstr>BasicValuesFull</vt:lpstr>
      <vt:lpstr>BasicValuesView</vt:lpstr>
      <vt:lpstr>BeginEnd</vt:lpstr>
      <vt:lpstr>CashFlowPeriods</vt:lpstr>
      <vt:lpstr>CashFlowTable</vt:lpstr>
      <vt:lpstr>CashflowTable0</vt:lpstr>
      <vt:lpstr>CashFlowTableFull</vt:lpstr>
      <vt:lpstr>ChangeTxt</vt:lpstr>
      <vt:lpstr>ChartPeriodLookup</vt:lpstr>
      <vt:lpstr>CodList01</vt:lpstr>
      <vt:lpstr>ColHeadersR</vt:lpstr>
      <vt:lpstr>ColHeadersR2</vt:lpstr>
      <vt:lpstr>ColLabels</vt:lpstr>
      <vt:lpstr>ConsTxt</vt:lpstr>
      <vt:lpstr>ContactInfo</vt:lpstr>
      <vt:lpstr>ContactInfoFull</vt:lpstr>
      <vt:lpstr>ContactInfoView</vt:lpstr>
      <vt:lpstr>CumMonths</vt:lpstr>
      <vt:lpstr>Currency</vt:lpstr>
      <vt:lpstr>DebtCashFlow</vt:lpstr>
      <vt:lpstr>DiscAnalysis</vt:lpstr>
      <vt:lpstr>DiscAnalysisView</vt:lpstr>
      <vt:lpstr>DiscFinCashFlow</vt:lpstr>
      <vt:lpstr>DiscMonth</vt:lpstr>
      <vt:lpstr>DiscMonthEquity</vt:lpstr>
      <vt:lpstr>DiscNetCashFlow</vt:lpstr>
      <vt:lpstr>DiscNetCashFlowEquity</vt:lpstr>
      <vt:lpstr>DiscOperCashFlow</vt:lpstr>
      <vt:lpstr>DiscPayBack</vt:lpstr>
      <vt:lpstr>DiscPayBackDCVA</vt:lpstr>
      <vt:lpstr>DiscPayBackEquity</vt:lpstr>
      <vt:lpstr>DiscPaybackPeriod</vt:lpstr>
      <vt:lpstr>DiscPeriod</vt:lpstr>
      <vt:lpstr>DiscPeriod2</vt:lpstr>
      <vt:lpstr>DiscPeriod2Equity</vt:lpstr>
      <vt:lpstr>DiscPeriodEquity</vt:lpstr>
      <vt:lpstr>DiscTotalInvestment</vt:lpstr>
      <vt:lpstr>DiscYear</vt:lpstr>
      <vt:lpstr>DiscYearEquity</vt:lpstr>
      <vt:lpstr>ElimGroupCol</vt:lpstr>
      <vt:lpstr>ElimLastCol</vt:lpstr>
      <vt:lpstr>ElimResidualColumn</vt:lpstr>
      <vt:lpstr>ElimStart</vt:lpstr>
      <vt:lpstr>ElimTxt</vt:lpstr>
      <vt:lpstr>ElimZeroCol</vt:lpstr>
      <vt:lpstr>ElimZeroPeriod</vt:lpstr>
      <vt:lpstr>Figures</vt:lpstr>
      <vt:lpstr>FinMonth</vt:lpstr>
      <vt:lpstr>FinYear</vt:lpstr>
      <vt:lpstr>FinYearsH</vt:lpstr>
      <vt:lpstr>FinYearsNeg</vt:lpstr>
      <vt:lpstr>FinYearsPos</vt:lpstr>
      <vt:lpstr>FinYearsR</vt:lpstr>
      <vt:lpstr>FixedCostAnalysis</vt:lpstr>
      <vt:lpstr>FixedCostAnalysisView</vt:lpstr>
      <vt:lpstr>GroupTxt</vt:lpstr>
      <vt:lpstr>HiddenCol2</vt:lpstr>
      <vt:lpstr>IFRSFull</vt:lpstr>
      <vt:lpstr>IFRSPrint</vt:lpstr>
      <vt:lpstr>IncomeTable</vt:lpstr>
      <vt:lpstr>IncomeTable0</vt:lpstr>
      <vt:lpstr>IncomeTableFull</vt:lpstr>
      <vt:lpstr>IncVarAnalysis2</vt:lpstr>
      <vt:lpstr>IncVarAnalysis2View</vt:lpstr>
      <vt:lpstr>IncVarAnalysis3</vt:lpstr>
      <vt:lpstr>IncVarAnalysis3View</vt:lpstr>
      <vt:lpstr>IncVarAnalysis4</vt:lpstr>
      <vt:lpstr>IncVarAnalysis4View</vt:lpstr>
      <vt:lpstr>IncVarAnalysis5</vt:lpstr>
      <vt:lpstr>IncVarAnalysis5View</vt:lpstr>
      <vt:lpstr>IncVarAnalysis6</vt:lpstr>
      <vt:lpstr>IncVarAnalysis6View</vt:lpstr>
      <vt:lpstr>IndexTxt</vt:lpstr>
      <vt:lpstr>InvDate</vt:lpstr>
      <vt:lpstr>Investment</vt:lpstr>
      <vt:lpstr>InvestmentAnalysis</vt:lpstr>
      <vt:lpstr>InvestmentAnalysisView</vt:lpstr>
      <vt:lpstr>InvestTable</vt:lpstr>
      <vt:lpstr>InvestTable0</vt:lpstr>
      <vt:lpstr>InvestTableFull</vt:lpstr>
      <vt:lpstr>InvMonth</vt:lpstr>
      <vt:lpstr>InvTime</vt:lpstr>
      <vt:lpstr>InvTime2</vt:lpstr>
      <vt:lpstr>InvTimeEnds</vt:lpstr>
      <vt:lpstr>InvTimeMonths</vt:lpstr>
      <vt:lpstr>InvTimeMonths2</vt:lpstr>
      <vt:lpstr>InvYear</vt:lpstr>
      <vt:lpstr>IrrCashFlow</vt:lpstr>
      <vt:lpstr>IrrCashFlowEquity</vt:lpstr>
      <vt:lpstr>KeyFiguresTable</vt:lpstr>
      <vt:lpstr>KeyFiguresTable0</vt:lpstr>
      <vt:lpstr>KeyFiguresTableFull</vt:lpstr>
      <vt:lpstr>Language</vt:lpstr>
      <vt:lpstr>LastMonth</vt:lpstr>
      <vt:lpstr>LastPeriod</vt:lpstr>
      <vt:lpstr>LastYear</vt:lpstr>
      <vt:lpstr>MidyearTxt</vt:lpstr>
      <vt:lpstr>MirrdCashFlow</vt:lpstr>
      <vt:lpstr>MYDisc</vt:lpstr>
      <vt:lpstr>NetCashFlow</vt:lpstr>
      <vt:lpstr>NetCashFlowEquity</vt:lpstr>
      <vt:lpstr>NoOfPeriods</vt:lpstr>
      <vt:lpstr>NoOfPeriods2</vt:lpstr>
      <vt:lpstr>NotDiscPayback</vt:lpstr>
      <vt:lpstr>NotDiscPaybackEquity</vt:lpstr>
      <vt:lpstr>NotInUseTxt</vt:lpstr>
      <vt:lpstr>OperMonth</vt:lpstr>
      <vt:lpstr>OperTxt</vt:lpstr>
      <vt:lpstr>OperYear</vt:lpstr>
      <vt:lpstr>Period</vt:lpstr>
      <vt:lpstr>Period2</vt:lpstr>
      <vt:lpstr>PerpetuityBaseValue</vt:lpstr>
      <vt:lpstr>PerpetuityBaseValueEquity</vt:lpstr>
      <vt:lpstr>PerpetuityBasisEntered</vt:lpstr>
      <vt:lpstr>PerpetuityBasisEnteredEquity</vt:lpstr>
      <vt:lpstr>PerpetuityDiscRate</vt:lpstr>
      <vt:lpstr>PerpetuityDiscRateEquity</vt:lpstr>
      <vt:lpstr>PerpetuityGrowthPercent</vt:lpstr>
      <vt:lpstr>PerpetuityGrowthPercentEquity</vt:lpstr>
      <vt:lpstr>PerpetuityPV</vt:lpstr>
      <vt:lpstr>PerpetuityPVEquity</vt:lpstr>
      <vt:lpstr>PerpetuityValue</vt:lpstr>
      <vt:lpstr>PerpetuityValueEquity</vt:lpstr>
      <vt:lpstr>PreTaxCashFlow</vt:lpstr>
      <vt:lpstr>PreTaxCashFlowEquity</vt:lpstr>
      <vt:lpstr>Analysis!Print_Area</vt:lpstr>
      <vt:lpstr>'Basic Values'!Print_Area</vt:lpstr>
      <vt:lpstr>Calculations!Print_Area</vt:lpstr>
      <vt:lpstr>IFRS!Print_Area</vt:lpstr>
      <vt:lpstr>Result!Print_Area</vt:lpstr>
      <vt:lpstr>Calculations!Print_Titles</vt:lpstr>
      <vt:lpstr>IFRS!Print_Titles</vt:lpstr>
      <vt:lpstr>MacroDef!Print_Titles</vt:lpstr>
      <vt:lpstr>RatiosDD</vt:lpstr>
      <vt:lpstr>ResultAverageEVA</vt:lpstr>
      <vt:lpstr>ResultAverageRONA</vt:lpstr>
      <vt:lpstr>ResultBookValue</vt:lpstr>
      <vt:lpstr>ResultContinuousInvestmentsPV</vt:lpstr>
      <vt:lpstr>ResultControlValue</vt:lpstr>
      <vt:lpstr>ResultDCF</vt:lpstr>
      <vt:lpstr>ResultDCFEquity</vt:lpstr>
      <vt:lpstr>ResultDCVA</vt:lpstr>
      <vt:lpstr>ResultDebtCorrection</vt:lpstr>
      <vt:lpstr>ResultEnterpriseValue</vt:lpstr>
      <vt:lpstr>ResultEquityValue</vt:lpstr>
      <vt:lpstr>ResultInvestmentProposalNominal</vt:lpstr>
      <vt:lpstr>ResultInvestmentProposalPV</vt:lpstr>
      <vt:lpstr>ResultIRR</vt:lpstr>
      <vt:lpstr>ResultIRRBeforeTax</vt:lpstr>
      <vt:lpstr>ResultIRRBeforeTaxEquity</vt:lpstr>
      <vt:lpstr>ResultIRRd</vt:lpstr>
      <vt:lpstr>ResultIRREquity</vt:lpstr>
      <vt:lpstr>ResultMIRR</vt:lpstr>
      <vt:lpstr>ResultMIRRd</vt:lpstr>
      <vt:lpstr>ResultMIRREquity</vt:lpstr>
      <vt:lpstr>ResultNetDebt</vt:lpstr>
      <vt:lpstr>ResultNPV</vt:lpstr>
      <vt:lpstr>ResultNPVEquity</vt:lpstr>
      <vt:lpstr>ResultNPVEquityMonthlyAnnuity</vt:lpstr>
      <vt:lpstr>ResultNPVMonthlyAnnuity</vt:lpstr>
      <vt:lpstr>ResultPayback</vt:lpstr>
      <vt:lpstr>ResultPaybackd</vt:lpstr>
      <vt:lpstr>ResultPaybackEquity</vt:lpstr>
      <vt:lpstr>ResultPI</vt:lpstr>
      <vt:lpstr>ResultPVResidual</vt:lpstr>
      <vt:lpstr>ResultPVResidualEquity</vt:lpstr>
      <vt:lpstr>ResultSimplePayback</vt:lpstr>
      <vt:lpstr>ResultSimplePaybackEquity</vt:lpstr>
      <vt:lpstr>ResultTable</vt:lpstr>
      <vt:lpstr>ResultTableFull</vt:lpstr>
      <vt:lpstr>ResultTableView</vt:lpstr>
      <vt:lpstr>ResultValueInUse</vt:lpstr>
      <vt:lpstr>RowList01</vt:lpstr>
      <vt:lpstr>StartupBegins</vt:lpstr>
      <vt:lpstr>StartupTxt</vt:lpstr>
      <vt:lpstr>TaxCashFlow</vt:lpstr>
      <vt:lpstr>TaxCorrection</vt:lpstr>
      <vt:lpstr>TaxRateM</vt:lpstr>
      <vt:lpstr>TotalCashFlow</vt:lpstr>
      <vt:lpstr>TotalInvestment</vt:lpstr>
      <vt:lpstr>TotalPV</vt:lpstr>
      <vt:lpstr>TurnoverAnalysis</vt:lpstr>
      <vt:lpstr>TurnoverAnalysisView</vt:lpstr>
      <vt:lpstr>User</vt:lpstr>
      <vt:lpstr>VariableCostAnalysis</vt:lpstr>
      <vt:lpstr>VariableCostAnalysisView</vt:lpstr>
      <vt:lpstr>VarList01</vt:lpstr>
      <vt:lpstr>VarRowsTxt</vt:lpstr>
      <vt:lpstr>WACC</vt:lpstr>
      <vt:lpstr>WACCCostOfDebt</vt:lpstr>
      <vt:lpstr>WACCDebt</vt:lpstr>
      <vt:lpstr>WACCEquity</vt:lpstr>
      <vt:lpstr>WACCPreTax</vt:lpstr>
      <vt:lpstr>WACCPreTaxMonth</vt:lpstr>
      <vt:lpstr>WACCReturnOnEquity</vt:lpstr>
      <vt:lpstr>WACCTaxRatio</vt:lpstr>
      <vt:lpstr>WACCTotalCapital</vt:lpstr>
      <vt:lpstr>WCABal</vt:lpstr>
      <vt:lpstr>WCBal</vt:lpstr>
      <vt:lpstr>WCChange</vt:lpstr>
      <vt:lpstr>WCDays</vt:lpstr>
      <vt:lpstr>WorkingCapital</vt:lpstr>
      <vt:lpstr>WorkingCapital0</vt:lpstr>
      <vt:lpstr>WorkingCapitalFull</vt:lpstr>
      <vt:lpstr>Year1</vt:lpstr>
      <vt:lpstr>Year2</vt:lpstr>
      <vt:lpstr>Year3</vt:lpstr>
      <vt:lpstr>Year4</vt:lpstr>
      <vt:lpstr>Year5</vt:lpstr>
      <vt:lpstr>YearlyPaybackData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Irina Kuzennaya</dc:creator>
  <cp:lastModifiedBy>Irina Kuzennaya</cp:lastModifiedBy>
  <cp:lastPrinted>2015-09-10T08:41:00Z</cp:lastPrinted>
  <dcterms:created xsi:type="dcterms:W3CDTF">2010-06-14T15:07:49Z</dcterms:created>
  <dcterms:modified xsi:type="dcterms:W3CDTF">2019-02-15T10:11:59Z</dcterms:modified>
</cp:coreProperties>
</file>